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95" windowWidth="13605" windowHeight="4680" activeTab="2"/>
  </bookViews>
  <sheets>
    <sheet name="Με Προφορικό &amp; Γραπτό Βαθμό" sheetId="1" r:id="rId1"/>
    <sheet name="Βοηθ" sheetId="2" state="hidden" r:id="rId2"/>
    <sheet name="Με Βαθμό Πρόσβασης Μαθήματος" sheetId="3" r:id="rId3"/>
    <sheet name="Φύλλο1" sheetId="4" state="hidden" r:id="rId4"/>
    <sheet name="Προσ" sheetId="5" state="hidden" r:id="rId5"/>
  </sheets>
  <definedNames>
    <definedName name="Z_212A0A96_D9FA_494F_ABE0_1CF5E84657E3_.wvu.FilterData" localSheetId="0" hidden="1">'Με Προφορικό &amp; Γραπτό Βαθμό'!$D$13:$D$17</definedName>
  </definedNames>
  <calcPr fullCalcOnLoad="1"/>
</workbook>
</file>

<file path=xl/comments1.xml><?xml version="1.0" encoding="utf-8"?>
<comments xmlns="http://schemas.openxmlformats.org/spreadsheetml/2006/main">
  <authors>
    <author>Thetakis</author>
  </authors>
  <commentList>
    <comment ref="D6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D8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4</t>
        </r>
      </text>
    </comment>
    <comment ref="G6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D4,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D6,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προφορικούς βαθμούς Α΄ και Β΄ τετραμήνου και τους βαθμούς από τα γραπτά μας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
</t>
        </r>
        <r>
          <rPr>
            <b/>
            <sz val="14"/>
            <color indexed="10"/>
            <rFont val="Tahoma"/>
            <family val="2"/>
          </rPr>
          <t>5.</t>
        </r>
        <r>
          <rPr>
            <b/>
            <i/>
            <sz val="14"/>
            <color indexed="18"/>
            <rFont val="Tahoma"/>
            <family val="2"/>
          </rPr>
          <t xml:space="preserve"> Παραλείψεις, λάθη, παρατηρήσεις,  που τυχόν προκύψουν, θα συμπεριληφθούν στο site του Kέντρου: </t>
        </r>
        <r>
          <rPr>
            <b/>
            <u val="single"/>
            <sz val="14"/>
            <color indexed="18"/>
            <rFont val="Tahoma"/>
            <family val="2"/>
          </rPr>
          <t>http://kesyp-agr.ait.sch.gr</t>
        </r>
      </text>
    </comment>
  </commentList>
</comments>
</file>

<file path=xl/comments3.xml><?xml version="1.0" encoding="utf-8"?>
<comments xmlns="http://schemas.openxmlformats.org/spreadsheetml/2006/main">
  <authors>
    <author>Thetakis</author>
  </authors>
  <commentList>
    <comment ref="E6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E8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color indexed="10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4</t>
        </r>
      </text>
    </comment>
    <comment ref="G4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D4,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D6,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βαθμούς Πρόσβασης Μαθήματος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
</t>
        </r>
        <r>
          <rPr>
            <b/>
            <sz val="14"/>
            <color indexed="10"/>
            <rFont val="Tahoma"/>
            <family val="2"/>
          </rPr>
          <t>5.</t>
        </r>
        <r>
          <rPr>
            <b/>
            <i/>
            <sz val="14"/>
            <color indexed="18"/>
            <rFont val="Tahoma"/>
            <family val="2"/>
          </rPr>
          <t xml:space="preserve"> Παραλείψεις, λάθη, παρατηρήσεις,  που τυχόν προκύψουν, θα συμπεριληφθούν στο site του Kέντρου: </t>
        </r>
        <r>
          <rPr>
            <b/>
            <u val="single"/>
            <sz val="14"/>
            <color indexed="18"/>
            <rFont val="Tahoma"/>
            <family val="2"/>
          </rPr>
          <t>http://kesyp-agr.ait.sch.gr</t>
        </r>
      </text>
    </comment>
    <comment ref="J8" authorId="0">
      <text>
        <r>
          <rPr>
            <b/>
            <sz val="12"/>
            <color indexed="18"/>
            <rFont val="Tahoma"/>
            <family val="2"/>
          </rPr>
          <t>Εξέταση σε τρία από τα  τέσσερα αγωνίσματα: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1.</t>
        </r>
        <r>
          <rPr>
            <b/>
            <sz val="12"/>
            <color indexed="16"/>
            <rFont val="Tahoma"/>
            <family val="2"/>
          </rPr>
          <t xml:space="preserve"> Δρόμος 400μ. για τα αγόρια
    και 200μ. για τα κορίτσια
</t>
        </r>
        <r>
          <rPr>
            <b/>
            <sz val="12"/>
            <color indexed="18"/>
            <rFont val="Tahoma"/>
            <family val="2"/>
          </rPr>
          <t>2.</t>
        </r>
        <r>
          <rPr>
            <b/>
            <sz val="12"/>
            <color indexed="16"/>
            <rFont val="Tahoma"/>
            <family val="2"/>
          </rPr>
          <t xml:space="preserve"> Άλμα εις μήκος
</t>
        </r>
        <r>
          <rPr>
            <b/>
            <sz val="12"/>
            <color indexed="18"/>
            <rFont val="Tahoma"/>
            <family val="2"/>
          </rPr>
          <t>3.</t>
        </r>
        <r>
          <rPr>
            <b/>
            <sz val="12"/>
            <color indexed="16"/>
            <rFont val="Tahoma"/>
            <family val="2"/>
          </rPr>
          <t xml:space="preserve"> Σφαιροβολία
</t>
        </r>
        <r>
          <rPr>
            <b/>
            <sz val="12"/>
            <color indexed="18"/>
            <rFont val="Tahoma"/>
            <family val="2"/>
          </rPr>
          <t>4.</t>
        </r>
        <r>
          <rPr>
            <b/>
            <sz val="12"/>
            <color indexed="16"/>
            <rFont val="Tahoma"/>
            <family val="2"/>
          </rPr>
          <t xml:space="preserve"> 50μ. κολύμβησης ελεύθερο</t>
        </r>
      </text>
    </comment>
    <comment ref="J15" authorId="0">
      <text>
        <r>
          <rPr>
            <b/>
            <sz val="12"/>
            <color indexed="18"/>
            <rFont val="Tahoma"/>
            <family val="2"/>
          </rPr>
          <t>Τα  ειδικά μαθήματα είναι: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ΑΓΓΛΙΚΗ ΓΛΩΣΣΑ
ΓΑΛΛΙΚΗ ΓΛΩΣΣΑ
ΓΕΡΜΑΝΙΚΗ ΓΛΩΣΣΑ
ΙΤΑΛΙΚΗ ΓΛΩΣΣΑ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8"/>
            <rFont val="Tahoma"/>
            <family val="2"/>
          </rPr>
          <t>ΕΛΕΥΘΕΡΟ ΣΧΕΔΙΟ 
ΓΡΑΜΜΙΚΟ ΣΧΕΔΙΟ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9"/>
            <rFont val="Tahoma"/>
            <family val="2"/>
          </rPr>
          <t>ΑΡΜΟΝΙΑ 
ΕΛΕΓΧΟΣ ΜΟΥΣΙΚΩΝ ΑΚΟΥΣΤΙΚΩΝ ΙΚΑΝΟΤΗΤΩΝ</t>
        </r>
      </text>
    </comment>
  </commentList>
</comments>
</file>

<file path=xl/sharedStrings.xml><?xml version="1.0" encoding="utf-8"?>
<sst xmlns="http://schemas.openxmlformats.org/spreadsheetml/2006/main" count="61" uniqueCount="42">
  <si>
    <t>Επιλογή Κατεύθυνσης</t>
  </si>
  <si>
    <t>Επιλογή Μαθήματος</t>
  </si>
  <si>
    <t>Α/Α</t>
  </si>
  <si>
    <t>Μάθημα</t>
  </si>
  <si>
    <t>Γραπτά</t>
  </si>
  <si>
    <t>Βαθμός Πρόσβασης Μαθήματος</t>
  </si>
  <si>
    <t xml:space="preserve">Νεοελληνική Γλώσσα </t>
  </si>
  <si>
    <t>Αρχές Οικονομικής Θεωρίας</t>
  </si>
  <si>
    <t>ΓΕΝΙΚΟΣ ΒΑΘΜΟΣ ΠΡΟΣΒΑΣΗΣ:</t>
  </si>
  <si>
    <t>Μαθήματα Αυξημένης Βαρύτητας</t>
  </si>
  <si>
    <t>Θεωρητική Κατεύθυνση</t>
  </si>
  <si>
    <t>Θετική Κατεύθυνση</t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</si>
  <si>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Πληροφορικής)</t>
    </r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</si>
  <si>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Τεχνολογίας)</t>
    </r>
  </si>
  <si>
    <t>Μόρια</t>
  </si>
  <si>
    <t>Μαθήματα γενικής παιδείας</t>
  </si>
  <si>
    <t>Προφορικός Α'  Τετραμήνου</t>
  </si>
  <si>
    <t>Προφορικός Β' Τετραμήνου</t>
  </si>
  <si>
    <t>Προσαρμογή Προφορικού</t>
  </si>
  <si>
    <t>Δημιουργήθηκε 5/11/05 από τον Θετάκη Χρήστο, Ειδικό Πληροφόρησης του ΚΕΣΥΠ Αγρινίου</t>
  </si>
  <si>
    <t>Μ.Ο</t>
  </si>
  <si>
    <t>Μάθημα Επιλογής Προαιρετικά Εξεταζόμενο σε Εθνικό Επίπεδο</t>
  </si>
  <si>
    <t>Π</t>
  </si>
  <si>
    <t>Μόρια Γεν.Βαθ.Προσ.</t>
  </si>
  <si>
    <t xml:space="preserve">Υπολογισμός Μορίων </t>
  </si>
  <si>
    <t>Υπολογισμός Μορίων</t>
  </si>
  <si>
    <r>
      <t>Οδηγίες</t>
    </r>
    <r>
      <rPr>
        <b/>
        <sz val="16"/>
        <color indexed="10"/>
        <rFont val="Verdana"/>
        <family val="2"/>
      </rPr>
      <t xml:space="preserve">           </t>
    </r>
    <r>
      <rPr>
        <b/>
        <sz val="11"/>
        <color indexed="18"/>
        <rFont val="Verdana"/>
        <family val="2"/>
      </rPr>
      <t>Με Προφορικό &amp; Γραπτό Βαθμό</t>
    </r>
  </si>
  <si>
    <t>Βαθμός Ειδικού Μαθήματος</t>
  </si>
  <si>
    <t>Συντελ. 1</t>
  </si>
  <si>
    <t>Συντελ. 2</t>
  </si>
  <si>
    <t>Επιστημονικά Πεδία</t>
  </si>
  <si>
    <t>Σύνολο Μορίων</t>
  </si>
  <si>
    <t>Βαθμός Αγωνισμάτων</t>
  </si>
  <si>
    <t>1ο Επιστημονικό Πεδίο</t>
  </si>
  <si>
    <t>2ο Επιστημονικό Πεδίο</t>
  </si>
  <si>
    <t>3ο Επιστημονικό Πεδίο</t>
  </si>
  <si>
    <t>4ο Επιστημονικό Πεδίο</t>
  </si>
  <si>
    <t>5ο Επιστημονικό Πεδίο</t>
  </si>
  <si>
    <r>
      <t xml:space="preserve">Οδηγίες           </t>
    </r>
    <r>
      <rPr>
        <b/>
        <sz val="11"/>
        <color indexed="18"/>
        <rFont val="Verdana"/>
        <family val="2"/>
      </rPr>
      <t>Χωρίς Προφορικό &amp; Γραπτό Βαθμό</t>
    </r>
  </si>
  <si>
    <t>Σύνολο Μορίων με Αγωνίσματα για ΤΕΦΑΑ</t>
  </si>
  <si>
    <t>Επώνυμο:</t>
  </si>
  <si>
    <t>Όνομα: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</si>
</sst>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color indexed="18"/>
      <name val="Tahoma"/>
      <family val="2"/>
    </font>
    <font>
      <b/>
      <sz val="12"/>
      <color indexed="18"/>
      <name val="Tahoma"/>
      <family val="2"/>
    </font>
    <font>
      <b/>
      <u val="single"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12"/>
      <color indexed="60"/>
      <name val="Tahoma"/>
      <family val="2"/>
    </font>
    <font>
      <b/>
      <sz val="12"/>
      <color indexed="53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2"/>
      <name val="Tahoma"/>
      <family val="2"/>
    </font>
    <font>
      <sz val="10"/>
      <color indexed="18"/>
      <name val="Tahoma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i/>
      <sz val="10"/>
      <color indexed="18"/>
      <name val="Arial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4"/>
      <color indexed="18"/>
      <name val="Tahoma"/>
      <family val="2"/>
    </font>
    <font>
      <b/>
      <sz val="20"/>
      <color indexed="18"/>
      <name val="Times New Roman"/>
      <family val="1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16"/>
      <color indexed="10"/>
      <name val="Verdana"/>
      <family val="2"/>
    </font>
    <font>
      <b/>
      <i/>
      <sz val="14"/>
      <color indexed="18"/>
      <name val="Tahoma"/>
      <family val="2"/>
    </font>
    <font>
      <b/>
      <u val="single"/>
      <sz val="14"/>
      <color indexed="18"/>
      <name val="Tahoma"/>
      <family val="2"/>
    </font>
    <font>
      <b/>
      <sz val="14"/>
      <color indexed="10"/>
      <name val="Arial"/>
      <family val="2"/>
    </font>
    <font>
      <b/>
      <i/>
      <sz val="16"/>
      <color indexed="10"/>
      <name val="Tahoma"/>
      <family val="2"/>
    </font>
    <font>
      <b/>
      <sz val="16"/>
      <color indexed="10"/>
      <name val="Tahoma"/>
      <family val="2"/>
    </font>
    <font>
      <b/>
      <sz val="11"/>
      <color indexed="18"/>
      <name val="Tahoma"/>
      <family val="2"/>
    </font>
    <font>
      <sz val="11"/>
      <name val="Tahoma"/>
      <family val="2"/>
    </font>
    <font>
      <b/>
      <sz val="11"/>
      <color indexed="18"/>
      <name val="Verdana"/>
      <family val="2"/>
    </font>
    <font>
      <b/>
      <sz val="18"/>
      <color indexed="10"/>
      <name val="Verdana"/>
      <family val="2"/>
    </font>
    <font>
      <b/>
      <sz val="11"/>
      <color indexed="16"/>
      <name val="Tahoma"/>
      <family val="2"/>
    </font>
    <font>
      <b/>
      <sz val="10"/>
      <name val="Tahoma"/>
      <family val="2"/>
    </font>
    <font>
      <b/>
      <sz val="13"/>
      <color indexed="1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name val="Tahoma"/>
      <family val="2"/>
    </font>
    <font>
      <b/>
      <sz val="11"/>
      <color indexed="19"/>
      <name val="Tahoma"/>
      <family val="2"/>
    </font>
    <font>
      <b/>
      <sz val="12"/>
      <color indexed="16"/>
      <name val="Tahoma"/>
      <family val="2"/>
    </font>
    <font>
      <b/>
      <sz val="10"/>
      <color indexed="16"/>
      <name val="Tahoma"/>
      <family val="2"/>
    </font>
    <font>
      <sz val="12"/>
      <color indexed="1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>
        <color indexed="16"/>
      </top>
      <bottom>
        <color indexed="63"/>
      </bottom>
    </border>
    <border>
      <left style="double"/>
      <right>
        <color indexed="63"/>
      </right>
      <top style="medium">
        <color indexed="16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double"/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double"/>
      <bottom>
        <color indexed="63"/>
      </bottom>
    </border>
    <border>
      <left style="medium">
        <color indexed="16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double"/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double"/>
    </border>
    <border>
      <left style="double"/>
      <right style="medium">
        <color indexed="16"/>
      </right>
      <top style="double"/>
      <bottom>
        <color indexed="63"/>
      </bottom>
    </border>
    <border>
      <left style="double"/>
      <right style="medium">
        <color indexed="16"/>
      </right>
      <top>
        <color indexed="63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double"/>
    </border>
    <border>
      <left style="medium">
        <color indexed="16"/>
      </left>
      <right style="medium">
        <color indexed="16"/>
      </right>
      <top>
        <color indexed="63"/>
      </top>
      <bottom style="double"/>
    </border>
    <border>
      <left style="double"/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double"/>
      <top style="hair">
        <color indexed="16"/>
      </top>
      <bottom style="hair">
        <color indexed="16"/>
      </bottom>
    </border>
    <border>
      <left style="double"/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double"/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>
        <color indexed="16"/>
      </bottom>
    </border>
    <border>
      <left style="double"/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double"/>
      <top>
        <color indexed="63"/>
      </top>
      <bottom style="hair">
        <color indexed="16"/>
      </bottom>
    </border>
    <border>
      <left style="thin"/>
      <right style="thin">
        <color indexed="16"/>
      </right>
      <top>
        <color indexed="63"/>
      </top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hair">
        <color indexed="16"/>
      </bottom>
    </border>
    <border>
      <left style="thin"/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/>
      <top>
        <color indexed="63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/>
      <bottom style="hair">
        <color indexed="16"/>
      </bottom>
    </border>
    <border>
      <left>
        <color indexed="63"/>
      </left>
      <right style="thin"/>
      <top style="hair">
        <color indexed="16"/>
      </top>
      <bottom>
        <color indexed="63"/>
      </bottom>
    </border>
    <border>
      <left>
        <color indexed="63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 style="thin"/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double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medium">
        <color indexed="16"/>
      </left>
      <right style="double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double">
        <color indexed="16"/>
      </right>
      <top style="thin">
        <color indexed="16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thin">
        <color indexed="53"/>
      </left>
      <right style="thin">
        <color indexed="53"/>
      </right>
      <top style="double"/>
      <bottom style="thin">
        <color indexed="5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thin"/>
      <right style="double">
        <color indexed="53"/>
      </right>
      <top>
        <color indexed="63"/>
      </top>
      <bottom>
        <color indexed="63"/>
      </bottom>
    </border>
    <border>
      <left style="thin"/>
      <right style="double">
        <color indexed="53"/>
      </right>
      <top style="thin">
        <color indexed="53"/>
      </top>
      <bottom style="double">
        <color indexed="5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/>
      <right>
        <color indexed="63"/>
      </right>
      <top style="double"/>
      <bottom style="medium">
        <color indexed="16"/>
      </bottom>
    </border>
    <border>
      <left>
        <color indexed="63"/>
      </left>
      <right>
        <color indexed="63"/>
      </right>
      <top style="double"/>
      <bottom style="medium">
        <color indexed="16"/>
      </bottom>
    </border>
    <border>
      <left>
        <color indexed="63"/>
      </left>
      <right style="double"/>
      <top style="double"/>
      <bottom style="medium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/>
      <top style="thin"/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double"/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16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16"/>
      </right>
      <top>
        <color indexed="63"/>
      </top>
      <bottom style="double"/>
    </border>
    <border>
      <left style="thin"/>
      <right style="thin">
        <color indexed="16"/>
      </right>
      <top style="thin"/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/>
      <top>
        <color indexed="63"/>
      </top>
      <bottom style="medium">
        <color indexed="16"/>
      </bottom>
    </border>
    <border>
      <left style="double">
        <color indexed="53"/>
      </left>
      <right>
        <color indexed="63"/>
      </right>
      <top style="double"/>
      <bottom style="thin">
        <color indexed="53"/>
      </bottom>
    </border>
    <border>
      <left>
        <color indexed="63"/>
      </left>
      <right style="thin">
        <color indexed="53"/>
      </right>
      <top style="double"/>
      <bottom style="thin">
        <color indexed="53"/>
      </bottom>
    </border>
    <border>
      <left style="double">
        <color indexed="53"/>
      </left>
      <right style="thin"/>
      <top style="thin">
        <color indexed="53"/>
      </top>
      <bottom style="double"/>
    </border>
    <border>
      <left style="thin"/>
      <right style="thin"/>
      <top style="thin">
        <color indexed="53"/>
      </top>
      <bottom style="double"/>
    </border>
    <border>
      <left style="double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double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16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16"/>
      </left>
      <right style="medium">
        <color indexed="16"/>
      </right>
      <top style="double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double">
        <color indexed="16"/>
      </top>
      <bottom style="thick">
        <color indexed="16"/>
      </bottom>
    </border>
    <border>
      <left style="medium">
        <color indexed="16"/>
      </left>
      <right style="double">
        <color indexed="16"/>
      </right>
      <top style="double">
        <color indexed="16"/>
      </top>
      <bottom style="thick">
        <color indexed="16"/>
      </bottom>
    </border>
    <border>
      <left style="double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5" xfId="0" applyFont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19" fillId="2" borderId="3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5" fillId="3" borderId="3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8" xfId="0" applyFont="1" applyBorder="1" applyAlignment="1">
      <alignment/>
    </xf>
    <xf numFmtId="0" fontId="10" fillId="3" borderId="4" xfId="0" applyFont="1" applyFill="1" applyBorder="1" applyAlignment="1">
      <alignment/>
    </xf>
    <xf numFmtId="0" fontId="0" fillId="0" borderId="40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35" xfId="0" applyFont="1" applyBorder="1" applyAlignment="1" applyProtection="1">
      <alignment horizontal="center"/>
      <protection/>
    </xf>
    <xf numFmtId="0" fontId="10" fillId="4" borderId="35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10" fillId="0" borderId="30" xfId="0" applyFont="1" applyBorder="1" applyAlignment="1" applyProtection="1">
      <alignment horizontal="center"/>
      <protection/>
    </xf>
    <xf numFmtId="0" fontId="10" fillId="4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10" fillId="0" borderId="45" xfId="0" applyFont="1" applyBorder="1" applyAlignment="1" applyProtection="1">
      <alignment horizontal="center"/>
      <protection/>
    </xf>
    <xf numFmtId="0" fontId="10" fillId="4" borderId="45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0" fillId="6" borderId="43" xfId="0" applyFill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" fillId="3" borderId="49" xfId="0" applyFont="1" applyFill="1" applyBorder="1" applyAlignment="1" applyProtection="1">
      <alignment horizontal="center" vertical="center" wrapText="1"/>
      <protection/>
    </xf>
    <xf numFmtId="0" fontId="0" fillId="6" borderId="42" xfId="0" applyFill="1" applyBorder="1" applyAlignment="1">
      <alignment/>
    </xf>
    <xf numFmtId="0" fontId="2" fillId="3" borderId="4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vertical="center"/>
    </xf>
    <xf numFmtId="0" fontId="3" fillId="6" borderId="51" xfId="0" applyFont="1" applyFill="1" applyBorder="1" applyAlignment="1">
      <alignment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6" borderId="53" xfId="0" applyFont="1" applyFill="1" applyBorder="1" applyAlignment="1">
      <alignment vertical="center"/>
    </xf>
    <xf numFmtId="0" fontId="3" fillId="6" borderId="54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4" borderId="56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5" fillId="0" borderId="60" xfId="0" applyFont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38" fillId="0" borderId="63" xfId="0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2" fillId="6" borderId="64" xfId="0" applyFont="1" applyFill="1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32" fillId="0" borderId="67" xfId="0" applyFont="1" applyFill="1" applyBorder="1" applyAlignment="1">
      <alignment vertical="center" textRotation="90" wrapText="1"/>
    </xf>
    <xf numFmtId="0" fontId="5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6" borderId="69" xfId="0" applyFont="1" applyFill="1" applyBorder="1" applyAlignment="1">
      <alignment horizontal="right" vertical="center"/>
    </xf>
    <xf numFmtId="0" fontId="8" fillId="6" borderId="6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4" borderId="69" xfId="0" applyFont="1" applyFill="1" applyBorder="1" applyAlignment="1">
      <alignment horizontal="right" vertical="center"/>
    </xf>
    <xf numFmtId="0" fontId="8" fillId="4" borderId="69" xfId="0" applyFont="1" applyFill="1" applyBorder="1" applyAlignment="1">
      <alignment horizontal="right" vertical="center"/>
    </xf>
    <xf numFmtId="0" fontId="18" fillId="0" borderId="69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29" fillId="4" borderId="70" xfId="0" applyFont="1" applyFill="1" applyBorder="1" applyAlignment="1">
      <alignment horizontal="center" vertical="center"/>
    </xf>
    <xf numFmtId="0" fontId="29" fillId="4" borderId="71" xfId="0" applyFont="1" applyFill="1" applyBorder="1" applyAlignment="1">
      <alignment horizontal="center" vertical="center"/>
    </xf>
    <xf numFmtId="0" fontId="29" fillId="4" borderId="72" xfId="0" applyFont="1" applyFill="1" applyBorder="1" applyAlignment="1">
      <alignment horizontal="center" vertical="center"/>
    </xf>
    <xf numFmtId="0" fontId="3" fillId="7" borderId="73" xfId="0" applyFont="1" applyFill="1" applyBorder="1" applyAlignment="1">
      <alignment horizontal="left"/>
    </xf>
    <xf numFmtId="0" fontId="3" fillId="7" borderId="74" xfId="0" applyFont="1" applyFill="1" applyBorder="1" applyAlignment="1">
      <alignment horizontal="left"/>
    </xf>
    <xf numFmtId="0" fontId="3" fillId="7" borderId="75" xfId="0" applyFont="1" applyFill="1" applyBorder="1" applyAlignment="1">
      <alignment horizontal="left"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0" fontId="2" fillId="3" borderId="76" xfId="0" applyFont="1" applyFill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 applyProtection="1">
      <alignment horizontal="center" vertical="center" wrapText="1"/>
      <protection/>
    </xf>
    <xf numFmtId="0" fontId="25" fillId="4" borderId="70" xfId="0" applyFont="1" applyFill="1" applyBorder="1" applyAlignment="1">
      <alignment horizontal="center" vertical="center"/>
    </xf>
    <xf numFmtId="0" fontId="25" fillId="4" borderId="71" xfId="0" applyFont="1" applyFill="1" applyBorder="1" applyAlignment="1">
      <alignment horizontal="center" vertical="center"/>
    </xf>
    <xf numFmtId="0" fontId="25" fillId="4" borderId="72" xfId="0" applyFont="1" applyFill="1" applyBorder="1" applyAlignment="1">
      <alignment horizontal="center" vertical="center"/>
    </xf>
    <xf numFmtId="0" fontId="2" fillId="3" borderId="77" xfId="0" applyFont="1" applyFill="1" applyBorder="1" applyAlignment="1" applyProtection="1">
      <alignment horizontal="center" vertical="center" wrapText="1"/>
      <protection/>
    </xf>
    <xf numFmtId="0" fontId="2" fillId="3" borderId="78" xfId="0" applyFont="1" applyFill="1" applyBorder="1" applyAlignment="1" applyProtection="1">
      <alignment horizontal="center" vertical="center" wrapText="1"/>
      <protection/>
    </xf>
    <xf numFmtId="0" fontId="3" fillId="6" borderId="53" xfId="0" applyFont="1" applyFill="1" applyBorder="1" applyAlignment="1">
      <alignment horizontal="left" vertical="center"/>
    </xf>
    <xf numFmtId="0" fontId="3" fillId="6" borderId="79" xfId="0" applyFont="1" applyFill="1" applyBorder="1" applyAlignment="1">
      <alignment horizontal="left" vertical="center"/>
    </xf>
    <xf numFmtId="0" fontId="3" fillId="6" borderId="50" xfId="0" applyFont="1" applyFill="1" applyBorder="1" applyAlignment="1">
      <alignment horizontal="left" vertical="center"/>
    </xf>
    <xf numFmtId="0" fontId="3" fillId="6" borderId="80" xfId="0" applyFont="1" applyFill="1" applyBorder="1" applyAlignment="1">
      <alignment horizontal="left"/>
    </xf>
    <xf numFmtId="0" fontId="3" fillId="6" borderId="51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textRotation="90" wrapText="1" shrinkToFit="1"/>
    </xf>
    <xf numFmtId="0" fontId="10" fillId="0" borderId="4" xfId="0" applyFont="1" applyBorder="1" applyAlignment="1">
      <alignment/>
    </xf>
    <xf numFmtId="0" fontId="2" fillId="0" borderId="81" xfId="0" applyFont="1" applyBorder="1" applyAlignment="1">
      <alignment horizontal="right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right"/>
    </xf>
    <xf numFmtId="0" fontId="2" fillId="0" borderId="84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35" fillId="7" borderId="0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textRotation="90" wrapText="1"/>
    </xf>
    <xf numFmtId="0" fontId="16" fillId="6" borderId="4" xfId="0" applyFont="1" applyFill="1" applyBorder="1" applyAlignment="1">
      <alignment horizontal="center" vertical="center" textRotation="90" wrapText="1" shrinkToFit="1"/>
    </xf>
    <xf numFmtId="0" fontId="32" fillId="6" borderId="4" xfId="0" applyFont="1" applyFill="1" applyBorder="1" applyAlignment="1">
      <alignment horizontal="center" vertical="center" textRotation="90" wrapText="1" shrinkToFit="1"/>
    </xf>
    <xf numFmtId="0" fontId="33" fillId="0" borderId="4" xfId="0" applyFont="1" applyBorder="1" applyAlignment="1">
      <alignment/>
    </xf>
    <xf numFmtId="0" fontId="32" fillId="7" borderId="87" xfId="0" applyFont="1" applyFill="1" applyBorder="1" applyAlignment="1">
      <alignment horizontal="left"/>
    </xf>
    <xf numFmtId="0" fontId="32" fillId="7" borderId="88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right"/>
    </xf>
    <xf numFmtId="0" fontId="44" fillId="0" borderId="89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0" fillId="2" borderId="91" xfId="0" applyFont="1" applyFill="1" applyBorder="1" applyAlignment="1">
      <alignment horizontal="center" vertical="center"/>
    </xf>
    <xf numFmtId="0" fontId="40" fillId="2" borderId="92" xfId="0" applyFont="1" applyFill="1" applyBorder="1" applyAlignment="1">
      <alignment horizontal="center" vertical="center"/>
    </xf>
    <xf numFmtId="0" fontId="37" fillId="0" borderId="93" xfId="0" applyFont="1" applyBorder="1" applyAlignment="1">
      <alignment horizontal="left"/>
    </xf>
    <xf numFmtId="0" fontId="37" fillId="0" borderId="94" xfId="0" applyFont="1" applyBorder="1" applyAlignment="1">
      <alignment horizontal="left"/>
    </xf>
    <xf numFmtId="0" fontId="37" fillId="0" borderId="95" xfId="0" applyFont="1" applyBorder="1" applyAlignment="1">
      <alignment horizontal="left" vertical="center"/>
    </xf>
    <xf numFmtId="0" fontId="37" fillId="0" borderId="96" xfId="0" applyFont="1" applyBorder="1" applyAlignment="1">
      <alignment horizontal="left" vertical="center"/>
    </xf>
    <xf numFmtId="0" fontId="37" fillId="0" borderId="97" xfId="0" applyFont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37" fillId="0" borderId="9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 wrapText="1"/>
    </xf>
    <xf numFmtId="0" fontId="35" fillId="7" borderId="100" xfId="0" applyFont="1" applyFill="1" applyBorder="1" applyAlignment="1">
      <alignment horizontal="center" vertical="center" wrapText="1"/>
    </xf>
    <xf numFmtId="0" fontId="39" fillId="4" borderId="101" xfId="0" applyFont="1" applyFill="1" applyBorder="1" applyAlignment="1">
      <alignment horizontal="center" vertical="center"/>
    </xf>
    <xf numFmtId="0" fontId="39" fillId="4" borderId="102" xfId="0" applyFont="1" applyFill="1" applyBorder="1" applyAlignment="1">
      <alignment horizontal="center" vertical="center"/>
    </xf>
    <xf numFmtId="0" fontId="39" fillId="4" borderId="103" xfId="0" applyFont="1" applyFill="1" applyBorder="1" applyAlignment="1">
      <alignment horizontal="center" vertical="center"/>
    </xf>
    <xf numFmtId="0" fontId="40" fillId="2" borderId="104" xfId="0" applyFont="1" applyFill="1" applyBorder="1" applyAlignment="1">
      <alignment horizontal="center" vertical="center"/>
    </xf>
    <xf numFmtId="0" fontId="40" fillId="2" borderId="105" xfId="0" applyFont="1" applyFill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7" fillId="0" borderId="106" xfId="0" applyFont="1" applyFill="1" applyBorder="1" applyAlignment="1">
      <alignment horizontal="center" vertical="center"/>
    </xf>
    <xf numFmtId="0" fontId="37" fillId="0" borderId="107" xfId="0" applyFont="1" applyFill="1" applyBorder="1" applyAlignment="1">
      <alignment horizontal="center" vertical="center"/>
    </xf>
    <xf numFmtId="0" fontId="37" fillId="0" borderId="10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0</xdr:row>
      <xdr:rowOff>104775</xdr:rowOff>
    </xdr:from>
    <xdr:to>
      <xdr:col>8</xdr:col>
      <xdr:colOff>752475</xdr:colOff>
      <xdr:row>1</xdr:row>
      <xdr:rowOff>161925</xdr:rowOff>
    </xdr:to>
    <xdr:sp>
      <xdr:nvSpPr>
        <xdr:cNvPr id="1" name="TextBox 36"/>
        <xdr:cNvSpPr txBox="1">
          <a:spLocks noChangeArrowheads="1"/>
        </xdr:cNvSpPr>
      </xdr:nvSpPr>
      <xdr:spPr>
        <a:xfrm>
          <a:off x="6410325" y="104775"/>
          <a:ext cx="2581275" cy="381000"/>
        </a:xfrm>
        <a:prstGeom prst="rect">
          <a:avLst/>
        </a:prstGeom>
        <a:solidFill>
          <a:srgbClr val="E8D1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site:     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http://kesyp-agr.ait.sch.gr
</a:t>
          </a: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e-mail: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mail@kesyp-agr.ait.sch.gr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104775</xdr:rowOff>
    </xdr:from>
    <xdr:to>
      <xdr:col>1</xdr:col>
      <xdr:colOff>762000</xdr:colOff>
      <xdr:row>3</xdr:row>
      <xdr:rowOff>38100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104775</xdr:rowOff>
    </xdr:from>
    <xdr:to>
      <xdr:col>8</xdr:col>
      <xdr:colOff>752475</xdr:colOff>
      <xdr:row>1</xdr:row>
      <xdr:rowOff>161925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6410325" y="104775"/>
          <a:ext cx="2581275" cy="381000"/>
        </a:xfrm>
        <a:prstGeom prst="rect">
          <a:avLst/>
        </a:prstGeom>
        <a:solidFill>
          <a:srgbClr val="E8D1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site:     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http://kesyp-agr.ait.sch.gr
</a:t>
          </a: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e-mail: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mail@kesyp-agr.ait.sch.gr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57150</xdr:rowOff>
    </xdr:from>
    <xdr:to>
      <xdr:col>9</xdr:col>
      <xdr:colOff>447675</xdr:colOff>
      <xdr:row>2</xdr:row>
      <xdr:rowOff>161925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6410325" y="57150"/>
          <a:ext cx="2581275" cy="485775"/>
        </a:xfrm>
        <a:prstGeom prst="rect">
          <a:avLst/>
        </a:prstGeom>
        <a:solidFill>
          <a:srgbClr val="E8D1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site:     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http://kesyp-agr.ait.sch.gr
</a:t>
          </a:r>
          <a:r>
            <a:rPr lang="en-US" cap="none" sz="11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e-mail:</a:t>
          </a:r>
          <a:r>
            <a:rPr lang="en-US" cap="none" sz="11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mail@kesyp-agr.ait.sch.gr</a:t>
          </a:r>
        </a:p>
      </xdr:txBody>
    </xdr:sp>
    <xdr:clientData/>
  </xdr:twoCellAnchor>
  <xdr:twoCellAnchor>
    <xdr:from>
      <xdr:col>6</xdr:col>
      <xdr:colOff>9525</xdr:colOff>
      <xdr:row>12</xdr:row>
      <xdr:rowOff>104775</xdr:rowOff>
    </xdr:from>
    <xdr:to>
      <xdr:col>10</xdr:col>
      <xdr:colOff>9525</xdr:colOff>
      <xdr:row>13</xdr:row>
      <xdr:rowOff>171450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096000" y="2667000"/>
          <a:ext cx="3276600" cy="257175"/>
        </a:xfrm>
        <a:prstGeom prst="rect">
          <a:avLst/>
        </a:prstGeom>
        <a:solidFill>
          <a:srgbClr val="CCFFCC"/>
        </a:solidFill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Σύνολο Μορίων με ειδικό Μάθημα</a:t>
          </a:r>
        </a:p>
      </xdr:txBody>
    </xdr:sp>
    <xdr:clientData/>
  </xdr:twoCellAnchor>
  <xdr:twoCellAnchor editAs="oneCell">
    <xdr:from>
      <xdr:col>1</xdr:col>
      <xdr:colOff>219075</xdr:colOff>
      <xdr:row>1</xdr:row>
      <xdr:rowOff>0</xdr:rowOff>
    </xdr:from>
    <xdr:to>
      <xdr:col>2</xdr:col>
      <xdr:colOff>657225</xdr:colOff>
      <xdr:row>3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16"/>
  </sheetPr>
  <dimension ref="B1:J36"/>
  <sheetViews>
    <sheetView showGridLines="0" showRowColHeaders="0" showZeros="0" zoomScale="75" zoomScaleNormal="75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6.00390625" style="0" customWidth="1"/>
    <col min="4" max="4" width="22.8515625" style="0" customWidth="1"/>
    <col min="5" max="5" width="22.421875" style="0" customWidth="1"/>
    <col min="6" max="6" width="9.421875" style="0" customWidth="1"/>
    <col min="7" max="7" width="12.7109375" style="0" customWidth="1"/>
    <col min="8" max="8" width="13.140625" style="0" customWidth="1"/>
    <col min="9" max="9" width="13.28125" style="0" customWidth="1"/>
  </cols>
  <sheetData>
    <row r="1" spans="2:9" ht="25.5">
      <c r="B1" s="148" t="s">
        <v>24</v>
      </c>
      <c r="C1" s="148"/>
      <c r="D1" s="148"/>
      <c r="E1" s="148"/>
      <c r="F1" s="148"/>
      <c r="G1" s="148"/>
      <c r="H1" s="148"/>
      <c r="I1" s="148"/>
    </row>
    <row r="3" spans="2:9" ht="17.25" customHeight="1">
      <c r="B3" s="104"/>
      <c r="C3" s="114" t="s">
        <v>40</v>
      </c>
      <c r="D3" s="120"/>
      <c r="E3" s="104"/>
      <c r="F3" s="104"/>
      <c r="G3" s="104"/>
      <c r="H3" s="104"/>
      <c r="I3" s="104"/>
    </row>
    <row r="4" spans="2:9" ht="15">
      <c r="B4" s="1"/>
      <c r="C4" s="115" t="s">
        <v>41</v>
      </c>
      <c r="D4" s="119"/>
      <c r="E4" s="1"/>
      <c r="F4" s="1"/>
      <c r="G4" s="1"/>
      <c r="H4" s="1"/>
      <c r="I4" s="1"/>
    </row>
    <row r="5" spans="2:9" ht="6" customHeight="1" thickBot="1">
      <c r="B5" s="1"/>
      <c r="C5" s="113"/>
      <c r="D5" s="1"/>
      <c r="E5" s="1"/>
      <c r="F5" s="1"/>
      <c r="G5" s="1"/>
      <c r="H5" s="1"/>
      <c r="I5" s="1"/>
    </row>
    <row r="6" spans="2:8" s="3" customFormat="1" ht="16.5" customHeight="1" thickBot="1" thickTop="1">
      <c r="B6" s="65"/>
      <c r="C6" s="53" t="s">
        <v>0</v>
      </c>
      <c r="D6" s="52">
        <v>1</v>
      </c>
      <c r="E6" s="65"/>
      <c r="F6" s="65"/>
      <c r="G6" s="149" t="s">
        <v>26</v>
      </c>
      <c r="H6" s="149"/>
    </row>
    <row r="7" spans="2:9" ht="5.25" customHeight="1" thickBot="1" thickTop="1">
      <c r="B7" s="1"/>
      <c r="C7" s="84">
        <f>IF(D6&lt;1,"ΛΑΘΟΣ ΕΠΙΛΟΓΗ ΑΡΙΘΜΟΥ από 1-4",IF(D6&gt;4,"ΛΑΘΟΣ ΕΠΙΛΟΓΗ ΑΡΙΘΜΟΥ από 1-4",IF(D8&lt;1,"ΛΑΘΟΣ ΕΠΙΛΟΓΗ ΑΡΙΘΜΟΥ από 1-4",IF(D8&gt;4,"ΛΑΘΟΣ ΕΠΙΛΟΓΗ ΑΡΙΘΜΟΥ από 1-4",))))</f>
        <v>0</v>
      </c>
      <c r="G7" s="149"/>
      <c r="H7" s="149"/>
      <c r="I7" s="1"/>
    </row>
    <row r="8" spans="2:9" s="3" customFormat="1" ht="16.5" thickBot="1" thickTop="1">
      <c r="B8" s="65"/>
      <c r="C8" s="53" t="s">
        <v>1</v>
      </c>
      <c r="D8" s="52">
        <v>2</v>
      </c>
      <c r="E8" s="65"/>
      <c r="F8" s="65"/>
      <c r="G8" s="149"/>
      <c r="H8" s="149"/>
      <c r="I8" s="65"/>
    </row>
    <row r="9" spans="2:9" s="3" customFormat="1" ht="14.25" customHeight="1" thickTop="1">
      <c r="B9" s="65"/>
      <c r="C9" s="6"/>
      <c r="D9" s="7"/>
      <c r="E9" s="65"/>
      <c r="F9" s="65"/>
      <c r="G9" s="149"/>
      <c r="H9" s="149"/>
      <c r="I9" s="65"/>
    </row>
    <row r="10" spans="3:9" s="3" customFormat="1" ht="18">
      <c r="C10" s="152" t="str">
        <f>IF(D6=1,"ΘΕΩΡΗΤΙΚΗ ΚΑΤΕΥΘΥΝΣΗ",IF(D6=2,"ΘΕΤΙΚΗ ΚΑΤΕΥΘΥΝΣΗ",IF(D6=3,"ΤΕΧΝΟΛΟΓΙΚΗ ΚΑΤΕΥΘΥΝΣΗ (Κύκλος Πληροφορικής)","ΤΕΧΝΟΛΟΓΙΚΗ ΚΑΤΕΥΘΥΝΣΗ (Κύκλος Τεχνολογίας)")))</f>
        <v>ΘΕΩΡΗΤΙΚΗ ΚΑΤΕΥΘΥΝΣΗ</v>
      </c>
      <c r="D10" s="152"/>
      <c r="E10" s="152"/>
      <c r="F10" s="152"/>
      <c r="G10" s="65"/>
      <c r="H10" s="65"/>
      <c r="I10" s="65"/>
    </row>
    <row r="11" spans="2:9" ht="12.75">
      <c r="B11" s="1"/>
      <c r="C11" s="1"/>
      <c r="D11" s="2"/>
      <c r="E11" s="1"/>
      <c r="F11" s="1"/>
      <c r="G11" s="1"/>
      <c r="H11" s="1"/>
      <c r="I11" s="1"/>
    </row>
    <row r="12" spans="2:10" s="4" customFormat="1" ht="25.5">
      <c r="B12" s="150" t="s">
        <v>2</v>
      </c>
      <c r="C12" s="88" t="s">
        <v>3</v>
      </c>
      <c r="D12" s="86" t="s">
        <v>16</v>
      </c>
      <c r="E12" s="86" t="s">
        <v>17</v>
      </c>
      <c r="F12" s="127" t="s">
        <v>20</v>
      </c>
      <c r="G12" s="129" t="s">
        <v>4</v>
      </c>
      <c r="H12" s="129" t="s">
        <v>18</v>
      </c>
      <c r="I12" s="133" t="s">
        <v>5</v>
      </c>
      <c r="J12" s="8"/>
    </row>
    <row r="13" spans="2:10" ht="15.75" thickBot="1">
      <c r="B13" s="151"/>
      <c r="C13" s="124" t="s">
        <v>15</v>
      </c>
      <c r="D13" s="125"/>
      <c r="E13" s="126"/>
      <c r="F13" s="128"/>
      <c r="G13" s="128"/>
      <c r="H13" s="128"/>
      <c r="I13" s="134"/>
      <c r="J13" s="5"/>
    </row>
    <row r="14" spans="2:10" ht="15">
      <c r="B14" s="69">
        <f>+B20+1</f>
        <v>5</v>
      </c>
      <c r="C14" s="50" t="s">
        <v>6</v>
      </c>
      <c r="D14" s="76">
        <v>20</v>
      </c>
      <c r="E14" s="76">
        <v>20</v>
      </c>
      <c r="F14" s="77">
        <f>ROUND((D14+E14)/2,1)</f>
        <v>20</v>
      </c>
      <c r="G14" s="76">
        <v>15</v>
      </c>
      <c r="H14" s="77">
        <f>ROUND(IF(ABS(G14-F14)&lt;=2,F14,IF(G14-F14&gt;=2,G14-2,G14+2)),1)</f>
        <v>17</v>
      </c>
      <c r="I14" s="79">
        <f>ROUND((H14*0.3+G14*0.7),1)</f>
        <v>15.6</v>
      </c>
      <c r="J14" s="5"/>
    </row>
    <row r="15" spans="2:10" ht="15">
      <c r="B15" s="69">
        <f>+B14+1</f>
        <v>6</v>
      </c>
      <c r="C15" s="50" t="str">
        <f>IF(D8=1,"Ιστορία",IF(D8=2,"Μαθηματικά &amp; Στ. Στατιστ.",IF(D8=3,"Βιολογία","Φυσική")))</f>
        <v>Μαθηματικά &amp; Στ. Στατιστ.</v>
      </c>
      <c r="D15" s="76">
        <v>20</v>
      </c>
      <c r="E15" s="76">
        <v>20</v>
      </c>
      <c r="F15" s="77">
        <f>ROUND((D15+E15)/2,1)</f>
        <v>20</v>
      </c>
      <c r="G15" s="76">
        <v>19</v>
      </c>
      <c r="H15" s="77">
        <f>ROUND(IF(ABS(G15-F15)&lt;=2,F15,IF(G15-F15&gt;=2,G15-2,G15+2)),1)</f>
        <v>20</v>
      </c>
      <c r="I15" s="79">
        <f>ROUND((H15*0.3+G15*0.7),1)</f>
        <v>19.3</v>
      </c>
      <c r="J15" s="5"/>
    </row>
    <row r="16" spans="2:10" ht="15">
      <c r="B16" s="87"/>
      <c r="C16" s="135" t="str">
        <f>IF(D6=1,"Μαθήματα Θεωρητικής Κατεύθυνσης",IF(D6=2,"Μαθήματα Θετικής Κατεύθυνσης",IF(D6=3,"Μαθήματα Τεχνολογικής Κατεύθυνσης (Κύκλος Πληροφορικής)","Μαθήματα Τεχνολογικής Κατεύθυνσης (Κύκλος Τεχνολογίας)")))</f>
        <v>Μαθήματα Θεωρητικής Κατεύθυνσης</v>
      </c>
      <c r="D16" s="136"/>
      <c r="E16" s="136"/>
      <c r="F16" s="136"/>
      <c r="G16" s="136"/>
      <c r="H16" s="136"/>
      <c r="I16" s="137"/>
      <c r="J16" s="5"/>
    </row>
    <row r="17" spans="2:10" ht="15">
      <c r="B17" s="68">
        <v>1</v>
      </c>
      <c r="C17" s="51" t="str">
        <f>IF(D6=1,"Αρχαία Ελληνικά","Μαθηματικά")</f>
        <v>Αρχαία Ελληνικά</v>
      </c>
      <c r="D17" s="72">
        <v>20</v>
      </c>
      <c r="E17" s="72">
        <v>20</v>
      </c>
      <c r="F17" s="73">
        <f>ROUND((D17+E17)/2,1)</f>
        <v>20</v>
      </c>
      <c r="G17" s="72">
        <v>17</v>
      </c>
      <c r="H17" s="74">
        <f>ROUND(IF(ABS(G17-F17)&lt;=2,F17,IF(G17-F17&gt;=2,G17-2,G17+2)),1)</f>
        <v>19</v>
      </c>
      <c r="I17" s="75">
        <f>ROUND((H17*0.3+G17*0.7),1)</f>
        <v>17.6</v>
      </c>
      <c r="J17" s="5"/>
    </row>
    <row r="18" spans="2:10" ht="15">
      <c r="B18" s="69">
        <f>+B17+1</f>
        <v>2</v>
      </c>
      <c r="C18" s="50" t="str">
        <f>IF(D6=1,"Ιστορία","Φυσική")</f>
        <v>Ιστορία</v>
      </c>
      <c r="D18" s="76">
        <v>20</v>
      </c>
      <c r="E18" s="76">
        <v>20</v>
      </c>
      <c r="F18" s="77">
        <f>ROUND((D18+E18)/2,1)</f>
        <v>20</v>
      </c>
      <c r="G18" s="76">
        <v>18</v>
      </c>
      <c r="H18" s="78">
        <f>ROUND(IF(ABS(G18-F18)&lt;=2,F18,IF(G18-F18&gt;=2,G18-2,G18+2)),1)</f>
        <v>20</v>
      </c>
      <c r="I18" s="79">
        <f>ROUND((H18*0.3+G18*0.7),1)</f>
        <v>18.6</v>
      </c>
      <c r="J18" s="5"/>
    </row>
    <row r="19" spans="2:10" ht="15">
      <c r="B19" s="69">
        <f>+B18+1</f>
        <v>3</v>
      </c>
      <c r="C19" s="50" t="str">
        <f>IF(D6=1,"Νεολ. Λογοτεχνία",IF(D6=2,"Χημεία",IF(D6=3,"Ανάπτυξη Εφαρμογών","Χημεία-Βιοχημεία")))</f>
        <v>Νεολ. Λογοτεχνία</v>
      </c>
      <c r="D19" s="76">
        <v>20</v>
      </c>
      <c r="E19" s="76">
        <v>20</v>
      </c>
      <c r="F19" s="77">
        <f>ROUND((D19+E19)/2,1)</f>
        <v>20</v>
      </c>
      <c r="G19" s="76">
        <v>19</v>
      </c>
      <c r="H19" s="78">
        <f>ROUND(IF(ABS(G19-F19)&lt;=2,F19,IF(G19-F19&gt;=2,G19-2,G19+2)),1)</f>
        <v>20</v>
      </c>
      <c r="I19" s="79">
        <f>ROUND((H19*0.3+G19*0.7),1)</f>
        <v>19.3</v>
      </c>
      <c r="J19" s="5"/>
    </row>
    <row r="20" spans="2:10" ht="15">
      <c r="B20" s="69">
        <f>+B19+1</f>
        <v>4</v>
      </c>
      <c r="C20" s="50" t="str">
        <f>IF(D6=1,"Λατινικά",IF(D6=2,"Βιολογία",IF(D6=3,"Διοίκηση Επιχειρήσεων","Ηλεκτρολογία")))</f>
        <v>Λατινικά</v>
      </c>
      <c r="D20" s="76">
        <v>20</v>
      </c>
      <c r="E20" s="76">
        <v>20</v>
      </c>
      <c r="F20" s="77">
        <f>ROUND((D20+E20)/2,1)</f>
        <v>20</v>
      </c>
      <c r="G20" s="76">
        <v>19</v>
      </c>
      <c r="H20" s="78">
        <f>ROUND(IF(ABS(G20-F20)&lt;=2,F20,IF(G20-F20&gt;=2,G20-2,G20+2)),1)</f>
        <v>20</v>
      </c>
      <c r="I20" s="79">
        <f>ROUND((H20*0.3+G20*0.7),1)</f>
        <v>19.3</v>
      </c>
      <c r="J20" s="5"/>
    </row>
    <row r="21" spans="2:9" ht="15">
      <c r="B21" s="83"/>
      <c r="C21" s="138" t="s">
        <v>21</v>
      </c>
      <c r="D21" s="138"/>
      <c r="E21" s="138"/>
      <c r="F21" s="138"/>
      <c r="G21" s="138"/>
      <c r="H21" s="138"/>
      <c r="I21" s="139"/>
    </row>
    <row r="22" spans="2:10" ht="15">
      <c r="B22" s="70">
        <f>+B15+1</f>
        <v>7</v>
      </c>
      <c r="C22" s="71" t="s">
        <v>7</v>
      </c>
      <c r="D22" s="80">
        <v>0</v>
      </c>
      <c r="E22" s="80">
        <v>0</v>
      </c>
      <c r="F22" s="81">
        <f>IF((D22+E22)=0,0,ROUND((D22+E22)/2,1))</f>
        <v>0</v>
      </c>
      <c r="G22" s="80"/>
      <c r="H22" s="81">
        <f>IF(F22=0,0,ROUND(IF(ABS(G22-F22)&lt;=2,F22,IF(G22-F22&gt;=2,G22-2,G22+2)),1))</f>
        <v>0</v>
      </c>
      <c r="I22" s="82">
        <f>IF(ISNUMBER(H22),ROUND((H22*0.3+G22*0.7),1),0)</f>
        <v>0</v>
      </c>
      <c r="J22" s="5"/>
    </row>
    <row r="23" spans="2:10" ht="3.75" customHeight="1" thickBot="1">
      <c r="B23" s="67"/>
      <c r="C23" s="66"/>
      <c r="D23" s="66"/>
      <c r="E23" s="66"/>
      <c r="F23" s="66"/>
      <c r="G23" s="66"/>
      <c r="H23" s="66"/>
      <c r="I23" s="66"/>
      <c r="J23" s="5"/>
    </row>
    <row r="24" spans="2:9" ht="15.75" thickBot="1">
      <c r="B24" s="67"/>
      <c r="C24" s="140" t="s">
        <v>8</v>
      </c>
      <c r="D24" s="140"/>
      <c r="E24" s="93">
        <f>ROUND(IF(I22=0,AVERAGE(I14:I21),AVERAGE(I14:I22)),2)</f>
        <v>18.28</v>
      </c>
      <c r="G24" s="141" t="s">
        <v>23</v>
      </c>
      <c r="H24" s="141"/>
      <c r="I24" s="94">
        <f>+E24*8</f>
        <v>146.24</v>
      </c>
    </row>
    <row r="25" spans="2:9" ht="3.75" customHeight="1" thickBot="1">
      <c r="B25" s="1"/>
      <c r="C25" s="1"/>
      <c r="D25" s="1"/>
      <c r="E25" s="1"/>
      <c r="F25" s="1"/>
      <c r="G25" s="1"/>
      <c r="H25" s="1"/>
      <c r="I25" s="1"/>
    </row>
    <row r="26" spans="2:9" s="3" customFormat="1" ht="16.5" customHeight="1" thickBot="1" thickTop="1">
      <c r="B26" s="65"/>
      <c r="C26" s="121" t="s">
        <v>9</v>
      </c>
      <c r="D26" s="122"/>
      <c r="E26" s="123"/>
      <c r="F26" s="65"/>
      <c r="G26" s="130" t="s">
        <v>14</v>
      </c>
      <c r="H26" s="131"/>
      <c r="I26" s="132"/>
    </row>
    <row r="27" spans="2:9" ht="12.75">
      <c r="B27" s="142" t="str">
        <f>IF(Βοηθ!C10=" ",IF(Βοηθ!C18=" ",IF(Βοηθ!C28=" ",IF(Βοηθ!C38=" "," ",Βοηθ!B37),Βοηθ!B27),Βοηθ!B17),Βοηθ!B9)</f>
        <v>Θεωρητική Κατεύθυνση</v>
      </c>
      <c r="C27" s="62"/>
      <c r="D27" s="63" t="str">
        <f>IF(Βοηθ!D9=" ",IF(Βοηθ!D17=" ",IF(Βοηθ!D27=" ",IF(Βοηθ!D37=" "," ",Βοηθ!D37),Βοηθ!D27),Βοηθ!D17),Βοηθ!D9)</f>
        <v>Αρχαία x 1,3</v>
      </c>
      <c r="E27" s="64" t="str">
        <f>IF(Βοηθ!E9=" ",IF(Βοηθ!E17=" ",IF(Βοηθ!E27=" ",IF(Βοηθ!E37=" "," ",Βοηθ!E37),Βοηθ!E27),Βοηθ!E17),Βοηθ!E9)</f>
        <v>Ιστορία x 0,7</v>
      </c>
      <c r="F27" s="1"/>
      <c r="G27" s="59"/>
      <c r="H27" s="60"/>
      <c r="I27" s="61"/>
    </row>
    <row r="28" spans="2:9" ht="15">
      <c r="B28" s="143"/>
      <c r="C28" s="43" t="str">
        <f>IF(Βοηθ!C10=" ",IF(Βοηθ!C18=" ",IF(Βοηθ!C28=" ",IF(Βοηθ!C38=" "," ",Βοηθ!C38),Βοηθ!C28),Βοηθ!C18),Βοηθ!C10)</f>
        <v>1ο Επιστημονικό Πεδίο</v>
      </c>
      <c r="D28" s="44">
        <f>IF(Βοηθ!D10=0,IF(Βοηθ!D18=0,IF(Βοηθ!D28=0,IF(Βοηθ!D38=0,0,Βοηθ!D38),Βοηθ!D28),Βοηθ!D18),Βοηθ!D10)</f>
        <v>22.880000000000003</v>
      </c>
      <c r="E28" s="45">
        <f>IF(Βοηθ!E10=0,IF(Βοηθ!E18=0,IF(Βοηθ!E28=0,IF(Βοηθ!E38=0,0,Βοηθ!E38),Βοηθ!E28),Βοηθ!E18),Βοηθ!E10)</f>
        <v>13.02</v>
      </c>
      <c r="F28" s="1"/>
      <c r="G28" s="144" t="str">
        <f>+C28</f>
        <v>1ο Επιστημονικό Πεδίο</v>
      </c>
      <c r="H28" s="145"/>
      <c r="I28" s="56">
        <f>+IF(C28=" ",0,(E24*8+D28+E28)*100)</f>
        <v>18214</v>
      </c>
    </row>
    <row r="29" spans="2:9" ht="15">
      <c r="B29" s="143"/>
      <c r="C29" s="46"/>
      <c r="D29" s="44" t="str">
        <f>IF(Βοηθ!D11=" ",IF(Βοηθ!D19=" ",IF(Βοηθ!D29=" ",IF(Βοηθ!D39=" "," ",Βοηθ!D39),Βοηθ!D29),Βοηθ!D19),Βοηθ!D11)</f>
        <v>Μαθηματ &amp; Στ. Στ x 0,9</v>
      </c>
      <c r="E29" s="45" t="str">
        <f>IF(Βοηθ!E11=" ",IF(Βοηθ!E19=" ",IF(Βοηθ!E29=" ",IF(Βοηθ!E39=" "," ",Βοηθ!E39),Βοηθ!E29),Βοηθ!E19),Βοηθ!E11)</f>
        <v>Νεοελ Γλώσσα x 0,4</v>
      </c>
      <c r="F29" s="1"/>
      <c r="G29" s="54"/>
      <c r="H29" s="55"/>
      <c r="I29" s="57"/>
    </row>
    <row r="30" spans="2:9" ht="15">
      <c r="B30" s="143"/>
      <c r="C30" s="43" t="str">
        <f>IF(Βοηθ!C12=" ",IF(Βοηθ!C20=" ",IF(Βοηθ!C30=" ",IF(Βοηθ!C40=" "," ",Βοηθ!C40),Βοηθ!C30),Βοηθ!C20),Βοηθ!C12)</f>
        <v>2ο,4ο Επιστημονικό Πεδίο</v>
      </c>
      <c r="D30" s="44">
        <f>IF(Βοηθ!D12=0,IF(Βοηθ!D20=0,IF(Βοηθ!D30=0,IF(Βοηθ!D40=0,0,Βοηθ!D40),Βοηθ!D30),Βοηθ!D20),Βοηθ!D12)</f>
        <v>17.37</v>
      </c>
      <c r="E30" s="45">
        <f>IF(Βοηθ!E12=0,IF(Βοηθ!E20=0,IF(Βοηθ!E30=0,IF(Βοηθ!E40=0,0,Βοηθ!E40),Βοηθ!E30),Βοηθ!E20),Βοηθ!E12)</f>
        <v>6.24</v>
      </c>
      <c r="F30" s="1"/>
      <c r="G30" s="144" t="str">
        <f>+C30</f>
        <v>2ο,4ο Επιστημονικό Πεδίο</v>
      </c>
      <c r="H30" s="145"/>
      <c r="I30" s="56">
        <f>+IF(C30=" ",0,(E24*8+D30+E30)*100)</f>
        <v>16985.000000000004</v>
      </c>
    </row>
    <row r="31" spans="2:9" ht="15">
      <c r="B31" s="143"/>
      <c r="C31" s="46"/>
      <c r="D31" s="44" t="str">
        <f>IF(Βοηθ!D13=" ",IF(Βοηθ!D21=" ",IF(Βοηθ!D31=" ",IF(Βοηθ!D41=" "," ",Βοηθ!D41),Βοηθ!D31),Βοηθ!D21),Βοηθ!D13)</f>
        <v> </v>
      </c>
      <c r="E31" s="45" t="str">
        <f>IF(Βοηθ!E13=" ",IF(Βοηθ!E21=" ",IF(Βοηθ!E31=" ",IF(Βοηθ!E41=" "," ",Βοηθ!E41),Βοηθ!E31),Βοηθ!E21),Βοηθ!E13)</f>
        <v> </v>
      </c>
      <c r="F31" s="1"/>
      <c r="G31" s="54"/>
      <c r="H31" s="55"/>
      <c r="I31" s="57"/>
    </row>
    <row r="32" spans="2:9" ht="15">
      <c r="B32" s="143"/>
      <c r="C32" s="43" t="str">
        <f>IF(Βοηθ!C14=" ",IF(Βοηθ!C22=" ",IF(Βοηθ!C32=" ",IF(Βοηθ!C42=" "," ",Βοηθ!C42),Βοηθ!C32),Βοηθ!C22),Βοηθ!C14)</f>
        <v> </v>
      </c>
      <c r="D32" s="44">
        <f>IF(Βοηθ!D14=0,IF(Βοηθ!D22=0,IF(Βοηθ!D32=0,IF(Βοηθ!D42=0,0,Βοηθ!D42),Βοηθ!D32),Βοηθ!D22),Βοηθ!D14)</f>
        <v>0</v>
      </c>
      <c r="E32" s="45">
        <f>IF(Βοηθ!E14=0,IF(Βοηθ!E22=0,IF(Βοηθ!E32=0,IF(Βοηθ!E42=0,0,Βοηθ!E42),Βοηθ!E32),Βοηθ!E22),Βοηθ!E14)</f>
        <v>0</v>
      </c>
      <c r="F32" s="1"/>
      <c r="G32" s="144" t="str">
        <f>+C32</f>
        <v> </v>
      </c>
      <c r="H32" s="145"/>
      <c r="I32" s="56">
        <f>+IF(C32=" ",0,(E24*8+D32+E32)*100)</f>
        <v>0</v>
      </c>
    </row>
    <row r="33" spans="2:9" ht="15">
      <c r="B33" s="143"/>
      <c r="C33" s="43"/>
      <c r="D33" s="44" t="str">
        <f>IF(Βοηθ!D23=" ",IF(Βοηθ!D33=" ",IF(Βοηθ!D43=" "," ",Βοηθ!D43),Βοηθ!D33),Βοηθ!D23)</f>
        <v> </v>
      </c>
      <c r="E33" s="45" t="str">
        <f>IF(Βοηθ!E23=" ",IF(Βοηθ!E33=" ",IF(Βοηθ!E43=" "," ",Βοηθ!E43),Βοηθ!E33),Βοηθ!E23)</f>
        <v> </v>
      </c>
      <c r="F33" s="1"/>
      <c r="G33" s="54"/>
      <c r="H33" s="55"/>
      <c r="I33" s="57"/>
    </row>
    <row r="34" spans="2:9" ht="15.75" thickBot="1">
      <c r="B34" s="143"/>
      <c r="C34" s="47" t="str">
        <f>IF(Βοηθ!C24=" ",IF(Βοηθ!C34=" ",IF(Βοηθ!C44=" "," ",Βοηθ!C44),Βοηθ!C34),Βοηθ!C24)</f>
        <v> </v>
      </c>
      <c r="D34" s="48">
        <f>IF(Βοηθ!D24=0,IF(Βοηθ!D34=0,IF(Βοηθ!D44=0,0,Βοηθ!D44),Βοηθ!D34),Βοηθ!D24)</f>
        <v>0</v>
      </c>
      <c r="E34" s="49">
        <f>IF(Βοηθ!E24=0,IF(Βοηθ!E34=0,IF(Βοηθ!E44=0,0,Βοηθ!E44),Βοηθ!E34),Βοηθ!E24)</f>
        <v>0</v>
      </c>
      <c r="F34" s="1"/>
      <c r="G34" s="146" t="str">
        <f>+C34</f>
        <v> </v>
      </c>
      <c r="H34" s="147"/>
      <c r="I34" s="58">
        <f>+IF(C34=" ",0,(E24*8+D34+E34)*100)</f>
        <v>0</v>
      </c>
    </row>
    <row r="35" spans="2:9" ht="15.75" customHeight="1" thickTop="1">
      <c r="B35" s="1"/>
      <c r="C35" s="1"/>
      <c r="D35" s="1"/>
      <c r="E35" s="1"/>
      <c r="F35" s="1"/>
      <c r="G35" s="1"/>
      <c r="H35" s="1"/>
      <c r="I35" s="1"/>
    </row>
    <row r="36" spans="2:9" ht="10.5" customHeight="1">
      <c r="B36" s="85" t="s">
        <v>19</v>
      </c>
      <c r="C36" s="1"/>
      <c r="D36" s="1"/>
      <c r="E36" s="1"/>
      <c r="F36" s="1"/>
      <c r="G36" s="1"/>
      <c r="H36" s="1"/>
      <c r="I36" s="1"/>
    </row>
    <row r="37" ht="13.5" customHeight="1"/>
  </sheetData>
  <sheetProtection password="DE9A" sheet="1" objects="1" scenarios="1"/>
  <protectedRanges>
    <protectedRange sqref="D6 D8 D14:E15 D17:E20 G14:G15 G17:G20 G22 D22:E22 D4 D3" name="Περιοχή1"/>
  </protectedRanges>
  <mergeCells count="20">
    <mergeCell ref="B1:I1"/>
    <mergeCell ref="G6:H9"/>
    <mergeCell ref="B12:B13"/>
    <mergeCell ref="C10:F10"/>
    <mergeCell ref="H12:H13"/>
    <mergeCell ref="B27:B34"/>
    <mergeCell ref="G28:H28"/>
    <mergeCell ref="G30:H30"/>
    <mergeCell ref="G32:H32"/>
    <mergeCell ref="G34:H34"/>
    <mergeCell ref="C26:E26"/>
    <mergeCell ref="C13:E13"/>
    <mergeCell ref="F12:F13"/>
    <mergeCell ref="G12:G13"/>
    <mergeCell ref="G26:I26"/>
    <mergeCell ref="I12:I13"/>
    <mergeCell ref="C16:I16"/>
    <mergeCell ref="C21:I21"/>
    <mergeCell ref="C24:D24"/>
    <mergeCell ref="G24:H24"/>
  </mergeCells>
  <printOptions/>
  <pageMargins left="0.4" right="0.18" top="0.5" bottom="0.49" header="0.5" footer="0.5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B9:E44"/>
  <sheetViews>
    <sheetView showZeros="0" workbookViewId="0" topLeftCell="A22">
      <selection activeCell="C45" sqref="C4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8" ht="13.5" thickBot="1"/>
    <row r="9" spans="2:5" ht="13.5" thickTop="1">
      <c r="B9" s="153" t="s">
        <v>10</v>
      </c>
      <c r="C9" s="10"/>
      <c r="D9" s="21" t="str">
        <f>IF('Με Προφορικό &amp; Γραπτό Βαθμό'!D6=1,"Αρχαία x 1,3"," ")</f>
        <v>Αρχαία x 1,3</v>
      </c>
      <c r="E9" s="26" t="str">
        <f>IF('Με Προφορικό &amp; Γραπτό Βαθμό'!D6=1,"Ιστορία x 0,7"," ")</f>
        <v>Ιστορία x 0,7</v>
      </c>
    </row>
    <row r="10" spans="2:5" ht="13.5" thickBot="1">
      <c r="B10" s="153"/>
      <c r="C10" s="12" t="str">
        <f>IF('Με Προφορικό &amp; Γραπτό Βαθμό'!D6=1,"1ο Επιστημονικό Πεδίο"," ")</f>
        <v>1ο Επιστημονικό Πεδίο</v>
      </c>
      <c r="D10" s="22">
        <f>+IF(D9=" ",0,'Με Προφορικό &amp; Γραπτό Βαθμό'!I17*1.3)</f>
        <v>22.880000000000003</v>
      </c>
      <c r="E10" s="27">
        <f>+IF(E9=" ",0,'Με Προφορικό &amp; Γραπτό Βαθμό'!I18*0.7)</f>
        <v>13.02</v>
      </c>
    </row>
    <row r="11" spans="2:5" ht="12.75">
      <c r="B11" s="153"/>
      <c r="C11" s="17"/>
      <c r="D11" s="23" t="str">
        <f>IF(C12=" "," ",IF('Με Προφορικό &amp; Γραπτό Βαθμό'!D8=1," ",IF('Με Προφορικό &amp; Γραπτό Βαθμό'!D8=2,"Μαθηματ &amp; Στ. Στ x 0,9",IF('Με Προφορικό &amp; Γραπτό Βαθμό'!D8=3,"Βιολογία x 0,9"," "))))</f>
        <v>Μαθηματ &amp; Στ. Στ x 0,9</v>
      </c>
      <c r="E11" s="28" t="str">
        <f>IF(C12=" "," ",IF('Με Προφορικό &amp; Γραπτό Βαθμό'!D8=1," ",IF('Με Προφορικό &amp; Γραπτό Βαθμό'!D8=2,"Νεοελ Γλώσσα x 0,4",IF('Με Προφορικό &amp; Γραπτό Βαθμό'!D8=3,"Νεοελ Γλώσσα x 0,4"," "))))</f>
        <v>Νεοελ Γλώσσα x 0,4</v>
      </c>
    </row>
    <row r="12" spans="2:5" ht="13.5" thickBot="1">
      <c r="B12" s="153"/>
      <c r="C12" s="19" t="str">
        <f>IF('Με Προφορικό &amp; Γραπτό Βαθμό'!D6&lt;&gt;1," ",IF('Με Προφορικό &amp; Γραπτό Βαθμό'!D8=1," ",IF('Με Προφορικό &amp; Γραπτό Βαθμό'!D8=2,"2ο,4ο Επιστημονικό Πεδίο",IF('Με Προφορικό &amp; Γραπτό Βαθμό'!D8=3,"3ο Επιστημονικό Πεδίο"," "))))</f>
        <v>2ο,4ο Επιστημονικό Πεδίο</v>
      </c>
      <c r="D12" s="29">
        <f>IF(D11=" ",0,'Με Προφορικό &amp; Γραπτό Βαθμό'!I15*0.9)</f>
        <v>17.37</v>
      </c>
      <c r="E12" s="20">
        <f>IF(E11=" ",0,'Με Προφορικό &amp; Γραπτό Βαθμό'!I14*0.4)</f>
        <v>6.24</v>
      </c>
    </row>
    <row r="13" spans="2:5" ht="12.75">
      <c r="B13" s="153"/>
      <c r="C13" s="24"/>
      <c r="D13" s="30" t="str">
        <f>IF(C14=" "," ",IF('Με Προφορικό &amp; Γραπτό Βαθμό'!I22=" "," ","Αρχ. Οικονομ. Θ. x 1,3"))</f>
        <v> </v>
      </c>
      <c r="E13" s="14" t="str">
        <f>IF(C14=" "," ",IF('Με Προφορικό &amp; Γραπτό Βαθμό'!I22=" "," ","Μαθηματ &amp; Στ. Στ x 0,7"))</f>
        <v> </v>
      </c>
    </row>
    <row r="14" spans="2:5" ht="13.5" thickBot="1">
      <c r="B14" s="153"/>
      <c r="C14" s="41" t="str">
        <f>IF('Με Προφορικό &amp; Γραπτό Βαθμό'!D6&lt;&gt;1," ",IF('Με Προφορικό &amp; Γραπτό Βαθμό'!D8&lt;&gt;2," ",IF('Με Προφορικό &amp; Γραπτό Βαθμό'!I22=0," ","5ο Επιστημονικό Πεδίο")))</f>
        <v> </v>
      </c>
      <c r="D14" s="42">
        <f>IF(D13=" ",0,'Με Προφορικό &amp; Γραπτό Βαθμό'!I22*1.3)</f>
        <v>0</v>
      </c>
      <c r="E14" s="15">
        <f>IF(E13=" ",0,'Με Προφορικό &amp; Γραπτό Βαθμό'!I15*0.7)</f>
        <v>0</v>
      </c>
    </row>
    <row r="15" ht="13.5" thickTop="1"/>
    <row r="16" ht="13.5" thickBot="1"/>
    <row r="17" spans="2:5" ht="13.5" customHeight="1" thickTop="1">
      <c r="B17" s="153" t="s">
        <v>11</v>
      </c>
      <c r="C17" s="38"/>
      <c r="D17" s="31" t="str">
        <f>IF(C18=" "," ",IF('Με Προφορικό &amp; Γραπτό Βαθμό'!D6=2,"Μαθηματικά x 1,3"," "))</f>
        <v> </v>
      </c>
      <c r="E17" s="11" t="str">
        <f>IF(C18=" "," ",IF('Με Προφορικό &amp; Γραπτό Βαθμό'!D6=2,"Φυσική x 0,7"," "))</f>
        <v> </v>
      </c>
    </row>
    <row r="18" spans="2:5" ht="13.5" thickBot="1">
      <c r="B18" s="153"/>
      <c r="C18" s="39" t="str">
        <f>IF('Με Προφορικό &amp; Γραπτό Βαθμό'!D6=2,"2ο, 4ο Επιστημονικό Πεδίο"," ")</f>
        <v> </v>
      </c>
      <c r="D18" s="32">
        <f>+IF(D17=" ",0,'Με Προφορικό &amp; Γραπτό Βαθμό'!I17*1.3)</f>
        <v>0</v>
      </c>
      <c r="E18" s="13">
        <f>+IF(E17=" ",0,'Με Προφορικό &amp; Γραπτό Βαθμό'!I18*0.7)</f>
        <v>0</v>
      </c>
    </row>
    <row r="19" spans="2:5" ht="12.75">
      <c r="B19" s="153"/>
      <c r="C19" s="40"/>
      <c r="D19" s="33" t="str">
        <f>IF(C20=" "," ",IF('Με Προφορικό &amp; Γραπτό Βαθμό'!D6=2,"Βιολογία x 1,3"," "))</f>
        <v> </v>
      </c>
      <c r="E19" s="16" t="str">
        <f>IF(C20=" "," ",IF('Με Προφορικό &amp; Γραπτό Βαθμό'!D6=2,"Χημεία x 0,7"," "))</f>
        <v> </v>
      </c>
    </row>
    <row r="20" spans="2:5" ht="13.5" thickBot="1">
      <c r="B20" s="153"/>
      <c r="C20" s="39" t="str">
        <f>IF('Με Προφορικό &amp; Γραπτό Βαθμό'!D6&lt;&gt;2," ",IF('Με Προφορικό &amp; Γραπτό Βαθμό'!D6=2,"3ο Επιστημονικό Πεδίο"," "))</f>
        <v> </v>
      </c>
      <c r="D20" s="32">
        <f>+IF(D19=" ",0,'Με Προφορικό &amp; Γραπτό Βαθμό'!I20*1.3)</f>
        <v>0</v>
      </c>
      <c r="E20" s="20">
        <f>+IF(E19=" ",0,'Με Προφορικό &amp; Γραπτό Βαθμό'!I19*0.7)</f>
        <v>0</v>
      </c>
    </row>
    <row r="21" spans="2:5" ht="12.75">
      <c r="B21" s="153"/>
      <c r="C21" s="24"/>
      <c r="D21" s="34" t="str">
        <f>IF(C22=" "," ",IF('Με Προφορικό &amp; Γραπτό Βαθμό'!D8=2," ",IF('Με Προφορικό &amp; Γραπτό Βαθμό'!D8=1,"Νεολ Γλώσσα x 0,9")))</f>
        <v> </v>
      </c>
      <c r="E21" s="14" t="str">
        <f>IF(C22=" "," ",IF('Με Προφορικό &amp; Γραπτό Βαθμό'!D8=2," ",IF('Με Προφορικό &amp; Γραπτό Βαθμό'!D8=1,"Ιστορία x 0,4")))</f>
        <v> </v>
      </c>
    </row>
    <row r="22" spans="2:5" ht="13.5" thickBot="1">
      <c r="B22" s="153"/>
      <c r="C22" s="25" t="str">
        <f>IF('Με Προφορικό &amp; Γραπτό Βαθμό'!D6&lt;&gt;2," ",IF('Με Προφορικό &amp; Γραπτό Βαθμό'!D8=2," ",IF('Με Προφορικό &amp; Γραπτό Βαθμό'!D8=1,"1ο Επιστημονικό Πεδίο",IF('Με Προφορικό &amp; Γραπτό Βαθμό'!D8=3," "," "))))</f>
        <v> </v>
      </c>
      <c r="D22" s="35">
        <f>IF(D21=" ",0,'Με Προφορικό &amp; Γραπτό Βαθμό'!I14*0.9)</f>
        <v>0</v>
      </c>
      <c r="E22" s="13">
        <f>IF(E21=" ",0,'Με Προφορικό &amp; Γραπτό Βαθμό'!I15*0.4)</f>
        <v>0</v>
      </c>
    </row>
    <row r="23" spans="2:5" ht="12.75">
      <c r="B23" s="153"/>
      <c r="C23" s="24"/>
      <c r="D23" s="36" t="str">
        <f>IF(C24=" "," ",IF('Με Προφορικό &amp; Γραπτό Βαθμό'!I22=" "," ","Αρχ. Οικονομ. Θ. x 1,3"))</f>
        <v> </v>
      </c>
      <c r="E23" s="18" t="str">
        <f>IF(C24=" "," ",IF('Με Προφορικό &amp; Γραπτό Βαθμό'!I22=" "," ","Μαθηματ &amp; Στ. Στ x 0,7"))</f>
        <v> </v>
      </c>
    </row>
    <row r="24" spans="2:5" ht="13.5" thickBot="1">
      <c r="B24" s="153"/>
      <c r="C24" s="41" t="str">
        <f>IF('Με Προφορικό &amp; Γραπτό Βαθμό'!D6&lt;&gt;2," ",IF('Με Προφορικό &amp; Γραπτό Βαθμό'!D8&lt;&gt;2," ",IF('Με Προφορικό &amp; Γραπτό Βαθμό'!I22=0," ","5ο Επιστημονικό Πεδίο")))</f>
        <v> </v>
      </c>
      <c r="D24" s="37">
        <f>IF(D23=" ",0,'Με Προφορικό &amp; Γραπτό Βαθμό'!I22*1.3)</f>
        <v>0</v>
      </c>
      <c r="E24" s="15">
        <f>IF(E23=" ",0,'Με Προφορικό &amp; Γραπτό Βαθμό'!I15*0.7)</f>
        <v>0</v>
      </c>
    </row>
    <row r="25" ht="13.5" thickTop="1">
      <c r="B25" s="9"/>
    </row>
    <row r="26" ht="13.5" thickBot="1"/>
    <row r="27" spans="2:5" ht="13.5" thickTop="1">
      <c r="B27" s="154" t="s">
        <v>12</v>
      </c>
      <c r="C27" s="38"/>
      <c r="D27" s="31" t="str">
        <f>IF(C28=" "," ",IF('Με Προφορικό &amp; Γραπτό Βαθμό'!D6=3,"Μαθηματικά x 1,3"," "))</f>
        <v> </v>
      </c>
      <c r="E27" s="11" t="str">
        <f>IF(C28=" "," ",IF('Με Προφορικό &amp; Γραπτό Βαθμό'!D6=3,"Φυσική x 0,7"," "))</f>
        <v> </v>
      </c>
    </row>
    <row r="28" spans="2:5" ht="13.5" thickBot="1">
      <c r="B28" s="154"/>
      <c r="C28" s="39" t="str">
        <f>IF('Με Προφορικό &amp; Γραπτό Βαθμό'!D6=3,"2ο, 4ο Επιστημονικό Πεδίο"," ")</f>
        <v> </v>
      </c>
      <c r="D28" s="32">
        <f>+IF(D27=" ",0,'Με Προφορικό &amp; Γραπτό Βαθμό'!I17*1.3)</f>
        <v>0</v>
      </c>
      <c r="E28" s="13">
        <f>+IF(E27=" ",0,'Με Προφορικό &amp; Γραπτό Βαθμό'!I18*0.7)</f>
        <v>0</v>
      </c>
    </row>
    <row r="29" spans="2:5" ht="12.75">
      <c r="B29" s="154"/>
      <c r="C29" s="40"/>
      <c r="D29" s="33" t="str">
        <f>IF(C30=" "," ",IF('Με Προφορικό &amp; Γραπτό Βαθμό'!D8=3,"Βιολογία x 0,9"," "))</f>
        <v> </v>
      </c>
      <c r="E29" s="16" t="str">
        <f>IF(C30=" "," ",IF('Με Προφορικό &amp; Γραπτό Βαθμό'!D8=3,"Νεολ. Γλώσσα x 0,4"," "))</f>
        <v> </v>
      </c>
    </row>
    <row r="30" spans="2:5" ht="13.5" thickBot="1">
      <c r="B30" s="154"/>
      <c r="C30" s="39" t="str">
        <f>IF('Με Προφορικό &amp; Γραπτό Βαθμό'!D6&lt;&gt;3," ",IF('Με Προφορικό &amp; Γραπτό Βαθμό'!D8=3,"3ο Επιστημονικό Πεδίο"," "))</f>
        <v> </v>
      </c>
      <c r="D30" s="32">
        <f>+IF(D29=" ",0,'Με Προφορικό &amp; Γραπτό Βαθμό'!I15*0.9)</f>
        <v>0</v>
      </c>
      <c r="E30" s="20">
        <f>+IF(E29=" ",0,'Με Προφορικό &amp; Γραπτό Βαθμό'!I14*0.4)</f>
        <v>0</v>
      </c>
    </row>
    <row r="31" spans="2:5" ht="12.75">
      <c r="B31" s="154"/>
      <c r="C31" s="24"/>
      <c r="D31" s="34" t="str">
        <f>IF(C32=" "," ",IF('Με Προφορικό &amp; Γραπτό Βαθμό'!D8=1,"Νεολ Γλώσσα x 0,9"," "))</f>
        <v> </v>
      </c>
      <c r="E31" s="14" t="str">
        <f>IF(C32=" "," ",IF('Με Προφορικό &amp; Γραπτό Βαθμό'!D8=1,"Ιστορία x 0,4"," "))</f>
        <v> </v>
      </c>
    </row>
    <row r="32" spans="2:5" ht="13.5" thickBot="1">
      <c r="B32" s="154"/>
      <c r="C32" s="25" t="str">
        <f>IF('Με Προφορικό &amp; Γραπτό Βαθμό'!D6&lt;&gt;3," ",IF('Με Προφορικό &amp; Γραπτό Βαθμό'!D8=1,"1ο Επιστημονικό Πεδίο"," "))</f>
        <v> </v>
      </c>
      <c r="D32" s="35">
        <f>IF(D31=" ",0,'Με Προφορικό &amp; Γραπτό Βαθμό'!I14*0.9)</f>
        <v>0</v>
      </c>
      <c r="E32" s="13">
        <f>IF(E31=" ",0,'Με Προφορικό &amp; Γραπτό Βαθμό'!I15*0.4)</f>
        <v>0</v>
      </c>
    </row>
    <row r="33" spans="2:5" ht="12.75">
      <c r="B33" s="154"/>
      <c r="C33" s="24"/>
      <c r="D33" s="36" t="str">
        <f>IF(C34=" "," ",IF('Με Προφορικό &amp; Γραπτό Βαθμό'!I22=" "," ","Αρχ. Οικονομ. Θ. x 1,3"))</f>
        <v> </v>
      </c>
      <c r="E33" s="18" t="str">
        <f>IF(C34=" "," ",IF('Με Προφορικό &amp; Γραπτό Βαθμό'!I22=" "," ","Μαθηματ &amp; Στ. Στ x 0,7"))</f>
        <v> </v>
      </c>
    </row>
    <row r="34" spans="2:5" ht="13.5" thickBot="1">
      <c r="B34" s="154"/>
      <c r="C34" s="41" t="str">
        <f>IF('Με Προφορικό &amp; Γραπτό Βαθμό'!D6&lt;&gt;3," ",IF('Με Προφορικό &amp; Γραπτό Βαθμό'!D8&lt;&gt;2," ",IF('Με Προφορικό &amp; Γραπτό Βαθμό'!I22=0," ","5ο Επιστημονικό Πεδίο")))</f>
        <v> </v>
      </c>
      <c r="D34" s="37">
        <f>IF(D33=" ",0,'Με Προφορικό &amp; Γραπτό Βαθμό'!I22*1.3)</f>
        <v>0</v>
      </c>
      <c r="E34" s="15">
        <f>IF(E33=" ",0,'Με Προφορικό &amp; Γραπτό Βαθμό'!I15*0.7)</f>
        <v>0</v>
      </c>
    </row>
    <row r="35" ht="13.5" thickTop="1"/>
    <row r="36" ht="13.5" thickBot="1"/>
    <row r="37" spans="2:5" ht="13.5" thickTop="1">
      <c r="B37" s="154" t="s">
        <v>13</v>
      </c>
      <c r="C37" s="38"/>
      <c r="D37" s="31" t="str">
        <f>IF(C38=" "," ",IF('Με Προφορικό &amp; Γραπτό Βαθμό'!D6=4,"Μαθηματικά x 1,3"," "))</f>
        <v> </v>
      </c>
      <c r="E37" s="11" t="str">
        <f>IF(C38=" "," ",IF('Με Προφορικό &amp; Γραπτό Βαθμό'!D6=4,"Φυσική x 0,7"," "))</f>
        <v> </v>
      </c>
    </row>
    <row r="38" spans="2:5" ht="13.5" thickBot="1">
      <c r="B38" s="154"/>
      <c r="C38" s="39" t="str">
        <f>IF('Με Προφορικό &amp; Γραπτό Βαθμό'!D6=4,"2ο, 4ο Επιστημονικό Πεδίο"," ")</f>
        <v> </v>
      </c>
      <c r="D38" s="32">
        <f>+IF(D37=" ",0,'Με Προφορικό &amp; Γραπτό Βαθμό'!I17*1.3)</f>
        <v>0</v>
      </c>
      <c r="E38" s="13">
        <f>+IF(E37=" ",0,'Με Προφορικό &amp; Γραπτό Βαθμό'!I18*0.7)</f>
        <v>0</v>
      </c>
    </row>
    <row r="39" spans="2:5" ht="12.75">
      <c r="B39" s="154"/>
      <c r="C39" s="40"/>
      <c r="D39" s="33" t="str">
        <f>IF(C40=" "," ",IF('Με Προφορικό &amp; Γραπτό Βαθμό'!D8=3,"Βιολογία x 0,9"," "))</f>
        <v> </v>
      </c>
      <c r="E39" s="16" t="str">
        <f>IF(C40=" "," ",IF('Με Προφορικό &amp; Γραπτό Βαθμό'!D8=3,"Νεολ. Γλώσσα x 0,4"," "))</f>
        <v> </v>
      </c>
    </row>
    <row r="40" spans="2:5" ht="13.5" thickBot="1">
      <c r="B40" s="154"/>
      <c r="C40" s="39" t="str">
        <f>IF('Με Προφορικό &amp; Γραπτό Βαθμό'!D6&lt;&gt;4," ",IF('Με Προφορικό &amp; Γραπτό Βαθμό'!D8=3,"3ο Επιστημονικό Πεδίο"," "))</f>
        <v> </v>
      </c>
      <c r="D40" s="32">
        <f>+IF(D39=" ",0,'Με Προφορικό &amp; Γραπτό Βαθμό'!I15*0.9)</f>
        <v>0</v>
      </c>
      <c r="E40" s="20">
        <f>+IF(E39=" ",0,'Με Προφορικό &amp; Γραπτό Βαθμό'!I14*0.4)</f>
        <v>0</v>
      </c>
    </row>
    <row r="41" spans="2:5" ht="12.75">
      <c r="B41" s="154"/>
      <c r="C41" s="24"/>
      <c r="D41" s="34" t="str">
        <f>IF(C42=" "," ",IF('Με Προφορικό &amp; Γραπτό Βαθμό'!D8=1,"Νεολ Γλώσσα x 0,9"," "))</f>
        <v> </v>
      </c>
      <c r="E41" s="14" t="str">
        <f>IF(C42=" "," ",IF('Με Προφορικό &amp; Γραπτό Βαθμό'!D8=1,"Ιστορία x 0,4"," "))</f>
        <v> </v>
      </c>
    </row>
    <row r="42" spans="2:5" ht="13.5" thickBot="1">
      <c r="B42" s="154"/>
      <c r="C42" s="25" t="str">
        <f>IF('Με Προφορικό &amp; Γραπτό Βαθμό'!D6&lt;&gt;4," ",IF('Με Προφορικό &amp; Γραπτό Βαθμό'!D8=1,"1ο Επιστημονικό Πεδίο"," "))</f>
        <v> </v>
      </c>
      <c r="D42" s="35">
        <f>IF(D41=" ",0,'Με Προφορικό &amp; Γραπτό Βαθμό'!I14*0.9)</f>
        <v>0</v>
      </c>
      <c r="E42" s="13">
        <f>IF(E41=" ",0,'Με Προφορικό &amp; Γραπτό Βαθμό'!I15*0.4)</f>
        <v>0</v>
      </c>
    </row>
    <row r="43" spans="2:5" ht="12.75">
      <c r="B43" s="154"/>
      <c r="C43" s="24"/>
      <c r="D43" s="36" t="str">
        <f>IF(C44=" "," ",IF('Με Προφορικό &amp; Γραπτό Βαθμό'!I22=" "," ","Αρχ. Οικονομ. Θ. x 1,3"))</f>
        <v> </v>
      </c>
      <c r="E43" s="18" t="str">
        <f>IF(C44=" "," ",IF('Με Προφορικό &amp; Γραπτό Βαθμό'!I22=" "," ","Μαθηματ &amp; Στ. Στ x 0,7"))</f>
        <v> </v>
      </c>
    </row>
    <row r="44" spans="2:5" ht="13.5" thickBot="1">
      <c r="B44" s="154"/>
      <c r="C44" s="41" t="str">
        <f>IF('Με Προφορικό &amp; Γραπτό Βαθμό'!D6&lt;&gt;4," ",IF('Με Προφορικό &amp; Γραπτό Βαθμό'!D8&lt;&gt;2," ",IF('Με Προφορικό &amp; Γραπτό Βαθμό'!I22=0," ","5ο Επιστημονικό Πεδίο")))</f>
        <v> </v>
      </c>
      <c r="D44" s="37">
        <f>IF(D43=" ",0,'Με Προφορικό &amp; Γραπτό Βαθμό'!I22*1.3)</f>
        <v>0</v>
      </c>
      <c r="E44" s="15">
        <f>IF(E43=" ",0,'Με Προφορικό &amp; Γραπτό Βαθμό'!I15*0.7)</f>
        <v>0</v>
      </c>
    </row>
    <row r="45" ht="13.5" thickTop="1"/>
  </sheetData>
  <sheetProtection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tabColor indexed="18"/>
  </sheetPr>
  <dimension ref="C2:K36"/>
  <sheetViews>
    <sheetView showGridLines="0" showRowColHeaders="0" showZeros="0" tabSelected="1" zoomScale="75" zoomScaleNormal="75" workbookViewId="0" topLeftCell="A1">
      <selection activeCell="E3" sqref="E3"/>
    </sheetView>
  </sheetViews>
  <sheetFormatPr defaultColWidth="9.140625" defaultRowHeight="12.75"/>
  <cols>
    <col min="1" max="2" width="4.421875" style="0" customWidth="1"/>
    <col min="3" max="3" width="11.140625" style="0" customWidth="1"/>
    <col min="4" max="4" width="26.00390625" style="0" customWidth="1"/>
    <col min="5" max="5" width="22.8515625" style="0" customWidth="1"/>
    <col min="6" max="6" width="22.421875" style="0" customWidth="1"/>
    <col min="7" max="7" width="11.00390625" style="0" customWidth="1"/>
    <col min="8" max="8" width="12.7109375" style="0" customWidth="1"/>
    <col min="9" max="9" width="13.140625" style="0" customWidth="1"/>
    <col min="10" max="10" width="12.28125" style="0" customWidth="1"/>
  </cols>
  <sheetData>
    <row r="1" ht="4.5" customHeight="1"/>
    <row r="2" spans="3:8" ht="25.5">
      <c r="C2" s="171" t="s">
        <v>25</v>
      </c>
      <c r="D2" s="171"/>
      <c r="E2" s="171"/>
      <c r="F2" s="171"/>
      <c r="G2" s="171"/>
      <c r="H2" s="171"/>
    </row>
    <row r="3" spans="4:10" ht="16.5" customHeight="1">
      <c r="D3" s="117" t="s">
        <v>40</v>
      </c>
      <c r="E3" s="120"/>
      <c r="I3" s="104"/>
      <c r="J3" s="104"/>
    </row>
    <row r="4" spans="3:10" ht="16.5" customHeight="1">
      <c r="C4" s="1"/>
      <c r="D4" s="118" t="s">
        <v>41</v>
      </c>
      <c r="E4" s="119"/>
      <c r="F4" s="1"/>
      <c r="G4" s="173" t="s">
        <v>38</v>
      </c>
      <c r="H4" s="149"/>
      <c r="I4" s="1"/>
      <c r="J4" s="1"/>
    </row>
    <row r="5" spans="3:10" ht="16.5" customHeight="1" thickBot="1">
      <c r="C5" s="1"/>
      <c r="D5" s="116"/>
      <c r="E5" s="65"/>
      <c r="F5" s="1"/>
      <c r="G5" s="173"/>
      <c r="H5" s="149"/>
      <c r="I5" s="1"/>
      <c r="J5" s="1"/>
    </row>
    <row r="6" spans="3:8" s="3" customFormat="1" ht="16.5" customHeight="1" thickBot="1" thickTop="1">
      <c r="C6" s="65"/>
      <c r="D6" s="53" t="s">
        <v>0</v>
      </c>
      <c r="E6" s="52">
        <v>1</v>
      </c>
      <c r="F6" s="65"/>
      <c r="G6" s="174"/>
      <c r="H6" s="174"/>
    </row>
    <row r="7" spans="3:10" ht="21" thickBot="1" thickTop="1">
      <c r="C7" s="1"/>
      <c r="D7" s="84">
        <f>IF(E6&lt;1,"ΛΑΘΟΣ ΕΠΙΛΟΓΗ ΑΡΙΘΜΟΥ από 1-4",IF(E6&gt;4,"ΛΑΘΟΣ ΕΠΙΛΟΓΗ ΑΡΙΘΜΟΥ από 1-4",IF(E8&lt;1,"ΛΑΘΟΣ ΕΠΙΛΟΓΗ ΑΡΙΘΜΟΥ από 1-4",IF(E8&gt;4,"ΛΑΘΟΣ ΕΠΙΛΟΓΗ ΑΡΙΘΜΟΥ από 1-4",))))</f>
        <v>0</v>
      </c>
      <c r="G7" s="175" t="s">
        <v>39</v>
      </c>
      <c r="H7" s="176"/>
      <c r="I7" s="176"/>
      <c r="J7" s="177"/>
    </row>
    <row r="8" spans="3:10" s="3" customFormat="1" ht="16.5" thickBot="1" thickTop="1">
      <c r="C8" s="65"/>
      <c r="D8" s="53" t="s">
        <v>1</v>
      </c>
      <c r="E8" s="52">
        <v>2</v>
      </c>
      <c r="F8" s="65"/>
      <c r="G8" s="178" t="s">
        <v>32</v>
      </c>
      <c r="H8" s="179"/>
      <c r="I8" s="179"/>
      <c r="J8" s="101">
        <v>20</v>
      </c>
    </row>
    <row r="9" spans="3:10" s="3" customFormat="1" ht="14.25" customHeight="1" thickTop="1">
      <c r="C9" s="65"/>
      <c r="D9" s="6"/>
      <c r="E9" s="7"/>
      <c r="F9" s="65"/>
      <c r="G9" s="180" t="str">
        <f>CHOOSE(E6,Φύλλο1!A1,Φύλλο1!A2,Φύλλο1!A2,Φύλλο1!A2)</f>
        <v>1ο Επιστημονικό Πεδίο</v>
      </c>
      <c r="H9" s="181"/>
      <c r="I9" s="182"/>
      <c r="J9" s="102">
        <f>+J8*2*100+J28</f>
        <v>24000</v>
      </c>
    </row>
    <row r="10" spans="3:10" s="3" customFormat="1" ht="14.25" customHeight="1">
      <c r="C10" s="172" t="str">
        <f>IF(E6=1,"ΘΕΩΡΗΤΙΚΗ ΚΑΤΕΥΘΥΝΣΗ",IF(E6=2,"ΘΕΤΙΚΗ ΚΑΤΕΥΘΥΝΣΗ",IF(E6=3,"ΤΕΧΝΟΛΟΓΙΚΗ ΚΑΤΕΥΘΥΝΣΗ (Κύκλος Πληροφορικής)","ΤΕΧΝΟΛΟΓΙΚΗ ΚΑΤΕΥΘΥΝΣΗ (Κύκλος Τεχνολογίας)")))</f>
        <v>ΘΕΩΡΗΤΙΚΗ ΚΑΤΕΥΘΥΝΣΗ</v>
      </c>
      <c r="D10" s="172"/>
      <c r="E10" s="172"/>
      <c r="F10" s="105"/>
      <c r="G10" s="183" t="str">
        <f>IF(E8=2,IF(E6=1,CHOOSE(E8,0,Φύλλο1!A2,0,0),0),0)</f>
        <v>2ο Επιστημονικό Πεδίο</v>
      </c>
      <c r="H10" s="184"/>
      <c r="I10" s="185"/>
      <c r="J10" s="102">
        <f>+IF(G10=0,0,J8*2*100+J30)</f>
        <v>22600</v>
      </c>
    </row>
    <row r="11" spans="3:10" ht="13.5" thickBot="1">
      <c r="C11" s="1"/>
      <c r="D11" s="1"/>
      <c r="E11" s="2"/>
      <c r="F11" s="1"/>
      <c r="G11" s="168">
        <f>IF(E6=1,0,CHOOSE(E8,Φύλλο1!A1,0,0,0))</f>
        <v>0</v>
      </c>
      <c r="H11" s="169"/>
      <c r="I11" s="170"/>
      <c r="J11" s="103">
        <f>+IF(G11=0,0,J8*2*100+J32)</f>
        <v>0</v>
      </c>
    </row>
    <row r="12" spans="3:6" s="4" customFormat="1" ht="26.25" thickTop="1">
      <c r="C12" s="150" t="s">
        <v>2</v>
      </c>
      <c r="D12" s="88" t="s">
        <v>3</v>
      </c>
      <c r="E12" s="91" t="s">
        <v>5</v>
      </c>
      <c r="F12" s="8"/>
    </row>
    <row r="13" spans="3:10" ht="15" thickBot="1">
      <c r="C13" s="151"/>
      <c r="D13" s="157" t="s">
        <v>15</v>
      </c>
      <c r="E13" s="158"/>
      <c r="F13" s="5"/>
      <c r="G13" s="5"/>
      <c r="H13" s="5"/>
      <c r="I13" s="5"/>
      <c r="J13" s="5"/>
    </row>
    <row r="14" spans="3:6" ht="15">
      <c r="C14" s="69">
        <f>+C20+1</f>
        <v>5</v>
      </c>
      <c r="D14" s="50" t="s">
        <v>6</v>
      </c>
      <c r="E14" s="79">
        <v>20</v>
      </c>
      <c r="F14" s="5"/>
    </row>
    <row r="15" spans="3:10" ht="16.5" customHeight="1" thickBot="1">
      <c r="C15" s="69">
        <f>+C14+1</f>
        <v>6</v>
      </c>
      <c r="D15" s="50" t="str">
        <f>IF(E8=1,"Ιστορία",IF(E8=2,"Μαθηματικά &amp; Στ. Στατιστ.",IF(E8=3,"Βιολογία","Φυσική")))</f>
        <v>Μαθηματικά &amp; Στ. Στατιστ.</v>
      </c>
      <c r="E15" s="79">
        <v>20</v>
      </c>
      <c r="F15" s="111"/>
      <c r="G15" s="162" t="s">
        <v>27</v>
      </c>
      <c r="H15" s="163"/>
      <c r="I15" s="163"/>
      <c r="J15" s="112">
        <v>20</v>
      </c>
    </row>
    <row r="16" spans="3:11" ht="15" customHeight="1" thickTop="1">
      <c r="C16" s="87"/>
      <c r="D16" s="92" t="str">
        <f>IF(E6=1,"Μαθήματα Θεωρητικής Κατεύθυνσης",IF(E6=2,"Μαθήματα Θετικής Κατεύθυνσης",IF(E6=3,"Μαθήματα Τεχνολογικής Κατεύθυνσης (Κύκλος Πληροφορικής)","Μαθήματα Τεχνολογικής Κατεύθυνσης (Κύκλος Τεχνολογίας)")))</f>
        <v>Μαθήματα Θεωρητικής Κατεύθυνσης</v>
      </c>
      <c r="E16" s="89"/>
      <c r="F16" s="111"/>
      <c r="G16" s="160" t="s">
        <v>30</v>
      </c>
      <c r="H16" s="161"/>
      <c r="I16" s="109" t="s">
        <v>28</v>
      </c>
      <c r="J16" s="110" t="s">
        <v>29</v>
      </c>
      <c r="K16" s="95"/>
    </row>
    <row r="17" spans="3:10" ht="15" customHeight="1">
      <c r="C17" s="68">
        <v>1</v>
      </c>
      <c r="D17" s="106" t="str">
        <f>IF(E6=1,"Αρχαία Ελληνικά","Μαθηματικά")</f>
        <v>Αρχαία Ελληνικά</v>
      </c>
      <c r="E17" s="75">
        <v>20</v>
      </c>
      <c r="F17" s="111"/>
      <c r="G17" s="166" t="str">
        <f>+H28</f>
        <v>1ο Επιστημονικό Πεδίο</v>
      </c>
      <c r="H17" s="167"/>
      <c r="I17" s="98">
        <f>IF(J15&lt;10,0,IF(J28=0," ",J28+J15*100))</f>
        <v>22000</v>
      </c>
      <c r="J17" s="99">
        <f>IF(J15&lt;10,0,IF(J28=0," ",J28+J15*2*100))</f>
        <v>24000</v>
      </c>
    </row>
    <row r="18" spans="3:10" ht="15">
      <c r="C18" s="69">
        <f>+C17+1</f>
        <v>2</v>
      </c>
      <c r="D18" s="107" t="str">
        <f>IF(E6=1,"Ιστορία","Φυσική")</f>
        <v>Ιστορία</v>
      </c>
      <c r="E18" s="79">
        <v>20</v>
      </c>
      <c r="F18" s="111"/>
      <c r="G18" s="166" t="str">
        <f>+H30</f>
        <v>2ο,4ο Επιστημονικό Πεδίο</v>
      </c>
      <c r="H18" s="167"/>
      <c r="I18" s="98">
        <f>IF(J15&lt;10,0,IF(J30=0," ",J30+J15*100))</f>
        <v>20600</v>
      </c>
      <c r="J18" s="99">
        <f>IF(J15&lt;10,0,IF(J30=0," ",J30+J15*2*100))</f>
        <v>22600</v>
      </c>
    </row>
    <row r="19" spans="3:10" ht="15">
      <c r="C19" s="69">
        <f>+C18+1</f>
        <v>3</v>
      </c>
      <c r="D19" s="107" t="str">
        <f>IF(E6=1,"Νεολ. Λογοτεχνία",IF(E6=2,"Χημεία",IF(E6=3,"Ανάπτυξη Εφαρμογών","Χημεία-Βιοχημεία")))</f>
        <v>Νεολ. Λογοτεχνία</v>
      </c>
      <c r="E19" s="79">
        <v>20</v>
      </c>
      <c r="F19" s="111"/>
      <c r="G19" s="166" t="str">
        <f>+H32</f>
        <v> </v>
      </c>
      <c r="H19" s="167"/>
      <c r="I19" s="98" t="str">
        <f>IF(J15&lt;10,0,IF(J32=0," ",J32+J15*100))</f>
        <v> </v>
      </c>
      <c r="J19" s="99" t="str">
        <f>IF(J15&lt;10,0,IF(J32=0," ",J32+J15*2*100))</f>
        <v> </v>
      </c>
    </row>
    <row r="20" spans="3:10" ht="15.75" thickBot="1">
      <c r="C20" s="69">
        <f>+C19+1</f>
        <v>4</v>
      </c>
      <c r="D20" s="107" t="str">
        <f>IF(E6=1,"Λατινικά",IF(E6=2,"Βιολογία",IF(E6=3,"Διοίκηση Επιχειρήσεων","Ηλεκτρολογία")))</f>
        <v>Λατινικά</v>
      </c>
      <c r="E20" s="79">
        <v>20</v>
      </c>
      <c r="F20" s="111"/>
      <c r="G20" s="164" t="str">
        <f>+H34</f>
        <v> </v>
      </c>
      <c r="H20" s="165"/>
      <c r="I20" s="96" t="str">
        <f>IF(J15&lt;10,0,IF(J34=0," ",J34+J15*100))</f>
        <v> </v>
      </c>
      <c r="J20" s="97" t="str">
        <f>IF(J15&lt;10,0,IF(J34=0," ",J34+J15*2*100))</f>
        <v> </v>
      </c>
    </row>
    <row r="21" spans="3:5" ht="15" customHeight="1" thickTop="1">
      <c r="C21" s="83"/>
      <c r="D21" s="108" t="s">
        <v>21</v>
      </c>
      <c r="E21" s="90"/>
    </row>
    <row r="22" spans="3:6" ht="15">
      <c r="C22" s="70">
        <f>+C15+1</f>
        <v>7</v>
      </c>
      <c r="D22" s="71" t="s">
        <v>7</v>
      </c>
      <c r="E22" s="82">
        <v>0</v>
      </c>
      <c r="F22" s="5"/>
    </row>
    <row r="23" spans="3:10" ht="3.75" customHeight="1" thickBot="1">
      <c r="C23" s="67"/>
      <c r="D23" s="66"/>
      <c r="E23" s="66"/>
      <c r="F23" s="66"/>
      <c r="G23" s="66"/>
      <c r="H23" s="66"/>
      <c r="I23" s="66"/>
      <c r="J23" s="66"/>
    </row>
    <row r="24" spans="3:10" ht="15.75" thickBot="1">
      <c r="C24" s="67"/>
      <c r="D24" s="159" t="s">
        <v>8</v>
      </c>
      <c r="E24" s="159"/>
      <c r="F24" s="93">
        <f>ROUND(IF(E22=0,AVERAGE(E14:E21),AVERAGE(E14:E22)),2)</f>
        <v>20</v>
      </c>
      <c r="H24" s="141" t="s">
        <v>23</v>
      </c>
      <c r="I24" s="141"/>
      <c r="J24" s="94">
        <f>+F24*8</f>
        <v>160</v>
      </c>
    </row>
    <row r="25" spans="3:10" ht="3.75" customHeight="1" thickBot="1">
      <c r="C25" s="1"/>
      <c r="D25" s="1"/>
      <c r="E25" s="1"/>
      <c r="F25" s="1"/>
      <c r="G25" s="1"/>
      <c r="H25" s="1"/>
      <c r="I25" s="1"/>
      <c r="J25" s="1"/>
    </row>
    <row r="26" spans="3:10" s="3" customFormat="1" ht="16.5" customHeight="1" thickBot="1" thickTop="1">
      <c r="C26" s="65"/>
      <c r="D26" s="121" t="s">
        <v>9</v>
      </c>
      <c r="E26" s="122"/>
      <c r="F26" s="123"/>
      <c r="G26" s="65"/>
      <c r="H26" s="130" t="s">
        <v>31</v>
      </c>
      <c r="I26" s="131"/>
      <c r="J26" s="132"/>
    </row>
    <row r="27" spans="3:10" ht="12.75">
      <c r="C27" s="155" t="str">
        <f>+C10</f>
        <v>ΘΕΩΡΗΤΙΚΗ ΚΑΤΕΥΘΥΝΣΗ</v>
      </c>
      <c r="D27" s="62"/>
      <c r="E27" s="63" t="str">
        <f>IF(Προσ!D9=" ",IF(Προσ!D17=" ",IF(Προσ!D27=" ",IF(Προσ!D37=" "," ",Προσ!D37),Προσ!D27),Προσ!D17),Προσ!D9)</f>
        <v>Αρχαία x 1,3</v>
      </c>
      <c r="F27" s="64" t="str">
        <f>IF(Προσ!E9=" ",IF(Προσ!E17=" ",IF(Προσ!E27=" ",IF(Προσ!E37=" "," ",Προσ!E37),Προσ!E27),Προσ!E17),Προσ!E9)</f>
        <v>Ιστορία x 0,7</v>
      </c>
      <c r="G27" s="1"/>
      <c r="H27" s="59"/>
      <c r="I27" s="60"/>
      <c r="J27" s="61"/>
    </row>
    <row r="28" spans="3:10" ht="15">
      <c r="C28" s="156"/>
      <c r="D28" s="43" t="str">
        <f>IF(Προσ!C10=" ",IF(Προσ!C18=" ",IF(Προσ!C28=" ",IF(Προσ!C38=" "," ",Προσ!C38),Προσ!C28),Προσ!C18),Προσ!C10)</f>
        <v>1ο Επιστημονικό Πεδίο</v>
      </c>
      <c r="E28" s="44">
        <f>IF(Προσ!D10=0,IF(Προσ!D18=0,IF(Προσ!D28=0,IF(Προσ!D38=0,0,Προσ!D38),Προσ!D28),Προσ!D18),Προσ!D10)</f>
        <v>26</v>
      </c>
      <c r="F28" s="45">
        <f>IF(Προσ!E10=0,IF(Προσ!E18=0,IF(Προσ!E28=0,IF(Προσ!E38=0,0,Προσ!E38),Προσ!E28),Προσ!E18),Προσ!E10)</f>
        <v>14</v>
      </c>
      <c r="G28" s="1"/>
      <c r="H28" s="144" t="str">
        <f>+D28</f>
        <v>1ο Επιστημονικό Πεδίο</v>
      </c>
      <c r="I28" s="145"/>
      <c r="J28" s="56">
        <f>+IF(D28=" ",0,(F24*8+E28+F28)*100)</f>
        <v>20000</v>
      </c>
    </row>
    <row r="29" spans="3:10" ht="15">
      <c r="C29" s="156"/>
      <c r="D29" s="46"/>
      <c r="E29" s="44" t="str">
        <f>IF(Προσ!D11=" ",IF(Προσ!D19=" ",IF(Προσ!D29=" ",IF(Προσ!D39=" "," ",Προσ!D39),Προσ!D29),Προσ!D19),Προσ!D11)</f>
        <v>Μαθηματ &amp; Στ. Στ x 0,9</v>
      </c>
      <c r="F29" s="45" t="str">
        <f>IF(Προσ!E11=" ",IF(Προσ!E19=" ",IF(Προσ!E29=" ",IF(Προσ!E39=" "," ",Προσ!E39),Προσ!E29),Προσ!E19),Προσ!E11)</f>
        <v>Νεοελ Γλώσσα x 0,4</v>
      </c>
      <c r="G29" s="1"/>
      <c r="H29" s="54"/>
      <c r="I29" s="55"/>
      <c r="J29" s="57"/>
    </row>
    <row r="30" spans="3:10" ht="15">
      <c r="C30" s="156"/>
      <c r="D30" s="43" t="str">
        <f>IF(Προσ!C12=" ",IF(Προσ!C20=" ",IF(Προσ!C30=" ",IF(Προσ!C40=" "," ",Προσ!C40),Προσ!C30),Προσ!C20),Προσ!C12)</f>
        <v>2ο,4ο Επιστημονικό Πεδίο</v>
      </c>
      <c r="E30" s="44">
        <f>IF(Προσ!D12=0,IF(Προσ!D20=0,IF(Προσ!D30=0,IF(Προσ!D40=0,0,Προσ!D40),Προσ!D30),Προσ!D20),Προσ!D12)</f>
        <v>18</v>
      </c>
      <c r="F30" s="45">
        <f>IF(Προσ!E12=0,IF(Προσ!E20=0,IF(Προσ!E30=0,IF(Προσ!E40=0,0,Προσ!E40),Προσ!E30),Προσ!E20),Προσ!E12)</f>
        <v>8</v>
      </c>
      <c r="G30" s="1"/>
      <c r="H30" s="144" t="str">
        <f>+D30</f>
        <v>2ο,4ο Επιστημονικό Πεδίο</v>
      </c>
      <c r="I30" s="145"/>
      <c r="J30" s="56">
        <f>+IF(D30=" ",0,(F24*8+E30+F30)*100)</f>
        <v>18600</v>
      </c>
    </row>
    <row r="31" spans="3:10" ht="15">
      <c r="C31" s="156"/>
      <c r="D31" s="46"/>
      <c r="E31" s="44" t="str">
        <f>IF(Προσ!D13=" ",IF(Προσ!D21=" ",IF(Προσ!D31=" ",IF(Προσ!D41=" "," ",Προσ!D41),Προσ!D31),Προσ!D21),Προσ!D13)</f>
        <v> </v>
      </c>
      <c r="F31" s="45" t="str">
        <f>IF(Προσ!E13=" ",IF(Προσ!E21=" ",IF(Προσ!E31=" ",IF(Προσ!E41=" "," ",Προσ!E41),Προσ!E31),Προσ!E21),Προσ!E13)</f>
        <v> </v>
      </c>
      <c r="G31" s="1"/>
      <c r="H31" s="54"/>
      <c r="I31" s="55"/>
      <c r="J31" s="57"/>
    </row>
    <row r="32" spans="3:10" ht="15">
      <c r="C32" s="156"/>
      <c r="D32" s="43" t="str">
        <f>IF(Προσ!C14=" ",IF(Προσ!C22=" ",IF(Προσ!C32=" ",IF(Προσ!C42=" "," ",Προσ!C42),Προσ!C32),Προσ!C22),Προσ!C14)</f>
        <v> </v>
      </c>
      <c r="E32" s="44">
        <f>IF(Προσ!D14=0,IF(Προσ!D22=0,IF(Προσ!D32=0,IF(Προσ!D42=0,0,Προσ!D42),Προσ!D32),Προσ!D22),Προσ!D14)</f>
        <v>0</v>
      </c>
      <c r="F32" s="45">
        <f>IF(Προσ!E14=0,IF(Προσ!E22=0,IF(Προσ!E32=0,IF(Προσ!E42=0,0,Προσ!E42),Προσ!E32),Προσ!E22),Προσ!E14)</f>
        <v>0</v>
      </c>
      <c r="G32" s="1"/>
      <c r="H32" s="144" t="str">
        <f>+D32</f>
        <v> </v>
      </c>
      <c r="I32" s="145"/>
      <c r="J32" s="56">
        <f>+IF(D32=" ",0,(F24*8+E32+F32)*100)</f>
        <v>0</v>
      </c>
    </row>
    <row r="33" spans="3:10" ht="15">
      <c r="C33" s="156"/>
      <c r="D33" s="43"/>
      <c r="E33" s="44" t="str">
        <f>IF(Προσ!D23=" ",IF(Προσ!D33=" ",IF(Προσ!D43=" "," ",Προσ!D43),Προσ!D33),Προσ!D23)</f>
        <v> </v>
      </c>
      <c r="F33" s="45" t="str">
        <f>IF(Προσ!E23=" ",IF(Προσ!E33=" ",IF(Προσ!E43=" "," ",Προσ!E43),Προσ!E33),Προσ!E23)</f>
        <v> </v>
      </c>
      <c r="G33" s="1"/>
      <c r="H33" s="54"/>
      <c r="I33" s="55"/>
      <c r="J33" s="57"/>
    </row>
    <row r="34" spans="3:10" ht="15.75" thickBot="1">
      <c r="C34" s="156"/>
      <c r="D34" s="47" t="str">
        <f>IF(Προσ!C24=" ",IF(Προσ!C34=" ",IF(Προσ!C44=" "," ",Προσ!C44),Προσ!C34),Προσ!C24)</f>
        <v> </v>
      </c>
      <c r="E34" s="48">
        <f>IF(Προσ!D24=0,IF(Προσ!D34=0,IF(Προσ!D44=0,0,Προσ!D44),Προσ!D34),Προσ!D24)</f>
        <v>0</v>
      </c>
      <c r="F34" s="49">
        <f>IF(Προσ!E24=0,IF(Προσ!E34=0,IF(Προσ!E44=0,0,Προσ!E44),Προσ!E34),Προσ!E24)</f>
        <v>0</v>
      </c>
      <c r="G34" s="1"/>
      <c r="H34" s="146" t="str">
        <f>+D34</f>
        <v> </v>
      </c>
      <c r="I34" s="147"/>
      <c r="J34" s="58">
        <f>+IF(D34=" ",0,(F24*8+E34+F34)*100)</f>
        <v>0</v>
      </c>
    </row>
    <row r="35" spans="3:10" ht="9" customHeight="1" thickTop="1">
      <c r="C35" s="1"/>
      <c r="D35" s="1"/>
      <c r="E35" s="1"/>
      <c r="F35" s="1"/>
      <c r="G35" s="1"/>
      <c r="H35" s="1"/>
      <c r="I35" s="1"/>
      <c r="J35" s="1"/>
    </row>
    <row r="36" spans="3:10" ht="10.5" customHeight="1">
      <c r="C36" s="85" t="s">
        <v>19</v>
      </c>
      <c r="D36" s="1"/>
      <c r="E36" s="1"/>
      <c r="F36" s="1"/>
      <c r="G36" s="1"/>
      <c r="H36" s="1"/>
      <c r="I36" s="1"/>
      <c r="J36" s="1"/>
    </row>
    <row r="37" ht="13.5" customHeight="1"/>
  </sheetData>
  <sheetProtection password="DE9A" sheet="1" objects="1" scenarios="1"/>
  <protectedRanges>
    <protectedRange sqref="E6 E8 E14:E15 E17:E20 E22 J15 J8 E4 E3" name="Περιοχή1"/>
  </protectedRanges>
  <mergeCells count="25">
    <mergeCell ref="G11:I11"/>
    <mergeCell ref="C2:H2"/>
    <mergeCell ref="C10:E10"/>
    <mergeCell ref="G17:H17"/>
    <mergeCell ref="C12:C13"/>
    <mergeCell ref="G4:H6"/>
    <mergeCell ref="G7:J7"/>
    <mergeCell ref="G8:I8"/>
    <mergeCell ref="G9:I9"/>
    <mergeCell ref="G10:I10"/>
    <mergeCell ref="D26:F26"/>
    <mergeCell ref="H26:J26"/>
    <mergeCell ref="D13:E13"/>
    <mergeCell ref="D24:E24"/>
    <mergeCell ref="H24:I24"/>
    <mergeCell ref="G16:H16"/>
    <mergeCell ref="G15:I15"/>
    <mergeCell ref="G20:H20"/>
    <mergeCell ref="G19:H19"/>
    <mergeCell ref="G18:H18"/>
    <mergeCell ref="C27:C34"/>
    <mergeCell ref="H28:I28"/>
    <mergeCell ref="H30:I30"/>
    <mergeCell ref="H32:I32"/>
    <mergeCell ref="H34:I34"/>
  </mergeCells>
  <printOptions/>
  <pageMargins left="0.27" right="0.46" top="0.49" bottom="0.49" header="0.5" footer="0.5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5"/>
  <dimension ref="A1:A5"/>
  <sheetViews>
    <sheetView showRowColHeaders="0" workbookViewId="0" topLeftCell="A1">
      <selection activeCell="I32" sqref="I32"/>
    </sheetView>
  </sheetViews>
  <sheetFormatPr defaultColWidth="9.140625" defaultRowHeight="12.75"/>
  <sheetData>
    <row r="1" ht="12.75">
      <c r="A1" s="100" t="s">
        <v>33</v>
      </c>
    </row>
    <row r="2" ht="12.75">
      <c r="A2" s="100" t="s">
        <v>34</v>
      </c>
    </row>
    <row r="3" ht="12.75">
      <c r="A3" s="100" t="s">
        <v>35</v>
      </c>
    </row>
    <row r="4" ht="12.75">
      <c r="A4" s="100" t="s">
        <v>36</v>
      </c>
    </row>
    <row r="5" ht="12.75">
      <c r="A5" s="100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4"/>
  <dimension ref="A1:E44"/>
  <sheetViews>
    <sheetView showZeros="0" workbookViewId="0" topLeftCell="A3">
      <selection activeCell="C15" sqref="C1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1" ht="12.75">
      <c r="A1" t="s">
        <v>22</v>
      </c>
    </row>
    <row r="8" ht="13.5" thickBot="1"/>
    <row r="9" spans="2:5" ht="13.5" thickTop="1">
      <c r="B9" s="153" t="s">
        <v>10</v>
      </c>
      <c r="C9" s="10"/>
      <c r="D9" s="21" t="str">
        <f>IF('Με Βαθμό Πρόσβασης Μαθήματος'!E6=1,"Αρχαία x 1,3"," ")</f>
        <v>Αρχαία x 1,3</v>
      </c>
      <c r="E9" s="26" t="str">
        <f>IF('Με Βαθμό Πρόσβασης Μαθήματος'!E6=1,"Ιστορία x 0,7"," ")</f>
        <v>Ιστορία x 0,7</v>
      </c>
    </row>
    <row r="10" spans="2:5" ht="13.5" thickBot="1">
      <c r="B10" s="153"/>
      <c r="C10" s="12" t="str">
        <f>IF('Με Βαθμό Πρόσβασης Μαθήματος'!E6=1,"1ο Επιστημονικό Πεδίο"," ")</f>
        <v>1ο Επιστημονικό Πεδίο</v>
      </c>
      <c r="D10" s="22">
        <f>+IF(D9=" ",0,'Με Βαθμό Πρόσβασης Μαθήματος'!E17*1.3)</f>
        <v>26</v>
      </c>
      <c r="E10" s="27">
        <f>+IF(E9=" ",0,'Με Βαθμό Πρόσβασης Μαθήματος'!E18*0.7)</f>
        <v>14</v>
      </c>
    </row>
    <row r="11" spans="2:5" ht="12.75">
      <c r="B11" s="153"/>
      <c r="C11" s="17"/>
      <c r="D11" s="23" t="str">
        <f>IF(C12=" "," ",IF('Με Βαθμό Πρόσβασης Μαθήματος'!E8=1," ",IF('Με Βαθμό Πρόσβασης Μαθήματος'!E8=2,"Μαθηματ &amp; Στ. Στ x 0,9",IF('Με Βαθμό Πρόσβασης Μαθήματος'!E8=3,"Βιολογία x 0,9"," "))))</f>
        <v>Μαθηματ &amp; Στ. Στ x 0,9</v>
      </c>
      <c r="E11" s="28" t="str">
        <f>IF(C12=" "," ",IF('Με Βαθμό Πρόσβασης Μαθήματος'!E8=1," ",IF('Με Βαθμό Πρόσβασης Μαθήματος'!E8=2,"Νεοελ Γλώσσα x 0,4",IF('Με Βαθμό Πρόσβασης Μαθήματος'!E8=3,"Νεοελ Γλώσσα x 0,4"," "))))</f>
        <v>Νεοελ Γλώσσα x 0,4</v>
      </c>
    </row>
    <row r="12" spans="2:5" ht="13.5" thickBot="1">
      <c r="B12" s="153"/>
      <c r="C12" s="19" t="str">
        <f>IF('Με Βαθμό Πρόσβασης Μαθήματος'!E6&lt;&gt;1," ",IF('Με Βαθμό Πρόσβασης Μαθήματος'!E8=1," ",IF('Με Βαθμό Πρόσβασης Μαθήματος'!E8=2,"2ο,4ο Επιστημονικό Πεδίο",IF('Με Βαθμό Πρόσβασης Μαθήματος'!E8=3,"3ο Επιστημονικό Πεδίο"," "))))</f>
        <v>2ο,4ο Επιστημονικό Πεδίο</v>
      </c>
      <c r="D12" s="29">
        <f>IF(D11=" ",0,'Με Βαθμό Πρόσβασης Μαθήματος'!E15*0.9)</f>
        <v>18</v>
      </c>
      <c r="E12" s="20">
        <f>IF(E11=" ",0,'Με Βαθμό Πρόσβασης Μαθήματος'!E14*0.4)</f>
        <v>8</v>
      </c>
    </row>
    <row r="13" spans="2:5" ht="12.75">
      <c r="B13" s="153"/>
      <c r="C13" s="24"/>
      <c r="D13" s="30" t="str">
        <f>IF(C14=" "," ",IF('Με Βαθμό Πρόσβασης Μαθήματος'!J22=" "," ","Αρχ. Οικονομ. Θ. x 1,3"))</f>
        <v> </v>
      </c>
      <c r="E13" s="14" t="str">
        <f>IF(C14=" "," ",IF('Με Βαθμό Πρόσβασης Μαθήματος'!J22=" "," ","Μαθηματ &amp; Στ. Στ x 0,7"))</f>
        <v> </v>
      </c>
    </row>
    <row r="14" spans="2:5" ht="13.5" thickBot="1">
      <c r="B14" s="153"/>
      <c r="C14" s="41" t="str">
        <f>IF('Με Βαθμό Πρόσβασης Μαθήματος'!E6&lt;&gt;1," ",IF('Με Βαθμό Πρόσβασης Μαθήματος'!E8&lt;&gt;2," ",IF('Με Βαθμό Πρόσβασης Μαθήματος'!E22=0," ","5ο Επιστημονικό Πεδίο")))</f>
        <v> </v>
      </c>
      <c r="D14" s="42">
        <f>IF(D13=" ",0,'Με Βαθμό Πρόσβασης Μαθήματος'!E22*1.3)</f>
        <v>0</v>
      </c>
      <c r="E14" s="15">
        <f>IF(E13=" ",0,'Με Βαθμό Πρόσβασης Μαθήματος'!E15*0.7)</f>
        <v>0</v>
      </c>
    </row>
    <row r="15" ht="13.5" thickTop="1"/>
    <row r="16" ht="13.5" thickBot="1"/>
    <row r="17" spans="2:5" ht="13.5" customHeight="1" thickTop="1">
      <c r="B17" s="153" t="s">
        <v>11</v>
      </c>
      <c r="C17" s="38"/>
      <c r="D17" s="31" t="str">
        <f>IF(C18=" "," ",IF('Με Βαθμό Πρόσβασης Μαθήματος'!E6=2,"Μαθηματικά x 1,3"," "))</f>
        <v> </v>
      </c>
      <c r="E17" s="11" t="str">
        <f>IF(C18=" "," ",IF('Με Βαθμό Πρόσβασης Μαθήματος'!E6=2,"Φυσική x 0,7"," "))</f>
        <v> </v>
      </c>
    </row>
    <row r="18" spans="2:5" ht="13.5" thickBot="1">
      <c r="B18" s="153"/>
      <c r="C18" s="39" t="str">
        <f>IF('Με Βαθμό Πρόσβασης Μαθήματος'!E6=2,"2ο, 4ο Επιστημονικό Πεδίο"," ")</f>
        <v> </v>
      </c>
      <c r="D18" s="32">
        <f>+IF(D17=" ",0,'Με Βαθμό Πρόσβασης Μαθήματος'!E17*1.3)</f>
        <v>0</v>
      </c>
      <c r="E18" s="13">
        <f>+IF(E17=" ",0,'Με Βαθμό Πρόσβασης Μαθήματος'!E18*0.7)</f>
        <v>0</v>
      </c>
    </row>
    <row r="19" spans="2:5" ht="12.75">
      <c r="B19" s="153"/>
      <c r="C19" s="40"/>
      <c r="D19" s="33" t="str">
        <f>IF(C20=" "," ",IF('Με Βαθμό Πρόσβασης Μαθήματος'!E6=2,"Βιολογία x 1,3"," "))</f>
        <v> </v>
      </c>
      <c r="E19" s="16" t="str">
        <f>IF(C20=" "," ",IF('Με Βαθμό Πρόσβασης Μαθήματος'!E6=2,"Χημεία x 0,7"," "))</f>
        <v> </v>
      </c>
    </row>
    <row r="20" spans="2:5" ht="13.5" thickBot="1">
      <c r="B20" s="153"/>
      <c r="C20" s="39" t="str">
        <f>IF('Με Βαθμό Πρόσβασης Μαθήματος'!E6&lt;&gt;2," ",IF('Με Βαθμό Πρόσβασης Μαθήματος'!E6=2,"3ο Επιστημονικό Πεδίο"," "))</f>
        <v> </v>
      </c>
      <c r="D20" s="32">
        <f>+IF(D19=" ",0,'Με Βαθμό Πρόσβασης Μαθήματος'!E20*1.3)</f>
        <v>0</v>
      </c>
      <c r="E20" s="20">
        <f>+IF(E19=" ",0,'Με Βαθμό Πρόσβασης Μαθήματος'!E19*0.7)</f>
        <v>0</v>
      </c>
    </row>
    <row r="21" spans="2:5" ht="12.75">
      <c r="B21" s="153"/>
      <c r="C21" s="24"/>
      <c r="D21" s="34" t="str">
        <f>IF(C22=" "," ",IF('Με Βαθμό Πρόσβασης Μαθήματος'!E8=2," ",IF('Με Βαθμό Πρόσβασης Μαθήματος'!E8=1,"Νεολ Γλώσσα x 0,9")))</f>
        <v> </v>
      </c>
      <c r="E21" s="14" t="str">
        <f>IF(C22=" "," ",IF('Με Βαθμό Πρόσβασης Μαθήματος'!E8=2," ",IF('Με Βαθμό Πρόσβασης Μαθήματος'!E8=1,"Ιστορία x 0,4")))</f>
        <v> </v>
      </c>
    </row>
    <row r="22" spans="2:5" ht="13.5" thickBot="1">
      <c r="B22" s="153"/>
      <c r="C22" s="25" t="str">
        <f>IF('Με Βαθμό Πρόσβασης Μαθήματος'!E6&lt;&gt;2," ",IF('Με Βαθμό Πρόσβασης Μαθήματος'!E8=2," ",IF('Με Βαθμό Πρόσβασης Μαθήματος'!E8=1,"1ο Επιστημονικό Πεδίο",IF('Με Βαθμό Πρόσβασης Μαθήματος'!E8=3," "," "))))</f>
        <v> </v>
      </c>
      <c r="D22" s="35">
        <f>IF(D21=" ",0,'Με Βαθμό Πρόσβασης Μαθήματος'!E14*0.9)</f>
        <v>0</v>
      </c>
      <c r="E22" s="13">
        <f>IF(E21=" ",0,'Με Βαθμό Πρόσβασης Μαθήματος'!E15*0.4)</f>
        <v>0</v>
      </c>
    </row>
    <row r="23" spans="2:5" ht="12.75">
      <c r="B23" s="153"/>
      <c r="C23" s="24"/>
      <c r="D23" s="36" t="str">
        <f>IF(C24=" "," ",IF('Με Βαθμό Πρόσβασης Μαθήματος'!J22=" "," ","Αρχ. Οικονομ. Θ. x 1,3"))</f>
        <v> </v>
      </c>
      <c r="E23" s="18" t="str">
        <f>IF(C24=" "," ",IF('Με Βαθμό Πρόσβασης Μαθήματος'!J22=" "," ","Μαθηματ &amp; Στ. Στ x 0,7"))</f>
        <v> </v>
      </c>
    </row>
    <row r="24" spans="2:5" ht="13.5" thickBot="1">
      <c r="B24" s="153"/>
      <c r="C24" s="41" t="str">
        <f>IF('Με Βαθμό Πρόσβασης Μαθήματος'!E6&lt;&gt;2," ",IF('Με Βαθμό Πρόσβασης Μαθήματος'!E8&lt;&gt;2," ",IF('Με Βαθμό Πρόσβασης Μαθήματος'!E22=0," ","5ο Επιστημονικό Πεδίο")))</f>
        <v> </v>
      </c>
      <c r="D24" s="37">
        <f>IF(D23=" ",0,'Με Βαθμό Πρόσβασης Μαθήματος'!E22*1.3)</f>
        <v>0</v>
      </c>
      <c r="E24" s="15">
        <f>IF(E23=" ",0,'Με Βαθμό Πρόσβασης Μαθήματος'!E15*0.7)</f>
        <v>0</v>
      </c>
    </row>
    <row r="25" ht="13.5" thickTop="1">
      <c r="B25" s="9"/>
    </row>
    <row r="26" ht="13.5" thickBot="1"/>
    <row r="27" spans="2:5" ht="13.5" thickTop="1">
      <c r="B27" s="154" t="s">
        <v>12</v>
      </c>
      <c r="C27" s="38"/>
      <c r="D27" s="31" t="str">
        <f>IF(C28=" "," ",IF('Με Βαθμό Πρόσβασης Μαθήματος'!E6=3,"Μαθηματικά x 1,3"," "))</f>
        <v> </v>
      </c>
      <c r="E27" s="11" t="str">
        <f>IF(C28=" "," ",IF('Με Βαθμό Πρόσβασης Μαθήματος'!E6=3,"Φυσική x 0,7"," "))</f>
        <v> </v>
      </c>
    </row>
    <row r="28" spans="2:5" ht="13.5" thickBot="1">
      <c r="B28" s="154"/>
      <c r="C28" s="39" t="str">
        <f>IF('Με Βαθμό Πρόσβασης Μαθήματος'!E6=3,"2ο, 4ο Επιστημονικό Πεδίο"," ")</f>
        <v> </v>
      </c>
      <c r="D28" s="32">
        <f>+IF(D27=" ",0,'Με Βαθμό Πρόσβασης Μαθήματος'!E17*1.3)</f>
        <v>0</v>
      </c>
      <c r="E28" s="13">
        <f>+IF(E27=" ",0,'Με Βαθμό Πρόσβασης Μαθήματος'!E18*0.7)</f>
        <v>0</v>
      </c>
    </row>
    <row r="29" spans="2:5" ht="12.75">
      <c r="B29" s="154"/>
      <c r="C29" s="40"/>
      <c r="D29" s="33" t="str">
        <f>IF(C30=" "," ",IF('Με Βαθμό Πρόσβασης Μαθήματος'!E8=3,"Βιολογία x 0,9"," "))</f>
        <v> </v>
      </c>
      <c r="E29" s="16" t="str">
        <f>IF(C30=" "," ",IF('Με Βαθμό Πρόσβασης Μαθήματος'!E8=3,"Νεολ. Γλώσσα x 0,4"," "))</f>
        <v> </v>
      </c>
    </row>
    <row r="30" spans="2:5" ht="13.5" thickBot="1">
      <c r="B30" s="154"/>
      <c r="C30" s="39" t="str">
        <f>IF('Με Βαθμό Πρόσβασης Μαθήματος'!E6&lt;&gt;3," ",IF('Με Βαθμό Πρόσβασης Μαθήματος'!E8=3,"3ο Επιστημονικό Πεδίο"," "))</f>
        <v> </v>
      </c>
      <c r="D30" s="32">
        <f>+IF(D29=" ",0,'Με Βαθμό Πρόσβασης Μαθήματος'!E15*0.9)</f>
        <v>0</v>
      </c>
      <c r="E30" s="20">
        <f>+IF(E29=" ",0,'Με Βαθμό Πρόσβασης Μαθήματος'!E14*0.4)</f>
        <v>0</v>
      </c>
    </row>
    <row r="31" spans="2:5" ht="12.75">
      <c r="B31" s="154"/>
      <c r="C31" s="24"/>
      <c r="D31" s="34" t="str">
        <f>IF(C32=" "," ",IF('Με Βαθμό Πρόσβασης Μαθήματος'!E8=1,"Νεολ Γλώσσα x 0,9"," "))</f>
        <v> </v>
      </c>
      <c r="E31" s="14" t="str">
        <f>IF(C32=" "," ",IF('Με Βαθμό Πρόσβασης Μαθήματος'!E8=1,"Ιστορία x 0,4"," "))</f>
        <v> </v>
      </c>
    </row>
    <row r="32" spans="2:5" ht="13.5" thickBot="1">
      <c r="B32" s="154"/>
      <c r="C32" s="25" t="str">
        <f>IF('Με Βαθμό Πρόσβασης Μαθήματος'!E6&lt;&gt;3," ",IF('Με Βαθμό Πρόσβασης Μαθήματος'!E8=1,"1ο Επιστημονικό Πεδίο"," "))</f>
        <v> </v>
      </c>
      <c r="D32" s="35">
        <f>IF(D31=" ",0,'Με Βαθμό Πρόσβασης Μαθήματος'!E14*0.9)</f>
        <v>0</v>
      </c>
      <c r="E32" s="13">
        <f>IF(E31=" ",0,'Με Βαθμό Πρόσβασης Μαθήματος'!E15*0.4)</f>
        <v>0</v>
      </c>
    </row>
    <row r="33" spans="2:5" ht="12.75">
      <c r="B33" s="154"/>
      <c r="C33" s="24"/>
      <c r="D33" s="36" t="str">
        <f>IF(C34=" "," ",IF('Με Βαθμό Πρόσβασης Μαθήματος'!J22=" "," ","Αρχ. Οικονομ. Θ. x 1,3"))</f>
        <v> </v>
      </c>
      <c r="E33" s="18" t="str">
        <f>IF(C34=" "," ",IF('Με Βαθμό Πρόσβασης Μαθήματος'!J22=" "," ","Μαθηματ &amp; Στ. Στ x 0,7"))</f>
        <v> </v>
      </c>
    </row>
    <row r="34" spans="2:5" ht="13.5" thickBot="1">
      <c r="B34" s="154"/>
      <c r="C34" s="41" t="str">
        <f>IF('Με Βαθμό Πρόσβασης Μαθήματος'!E6&lt;&gt;3," ",IF('Με Βαθμό Πρόσβασης Μαθήματος'!E8&lt;&gt;2," ",IF('Με Βαθμό Πρόσβασης Μαθήματος'!E22=0," ","5ο Επιστημονικό Πεδίο")))</f>
        <v> </v>
      </c>
      <c r="D34" s="37">
        <f>IF(D33=" ",0,'Με Βαθμό Πρόσβασης Μαθήματος'!E22*1.3)</f>
        <v>0</v>
      </c>
      <c r="E34" s="15">
        <f>IF(E33=" ",0,'Με Βαθμό Πρόσβασης Μαθήματος'!E15*0.7)</f>
        <v>0</v>
      </c>
    </row>
    <row r="35" ht="13.5" thickTop="1"/>
    <row r="36" ht="13.5" thickBot="1"/>
    <row r="37" spans="2:5" ht="13.5" thickTop="1">
      <c r="B37" s="154" t="s">
        <v>13</v>
      </c>
      <c r="C37" s="38"/>
      <c r="D37" s="31" t="str">
        <f>IF(C38=" "," ",IF('Με Βαθμό Πρόσβασης Μαθήματος'!E6=4,"Μαθηματικά x 1,3"," "))</f>
        <v> </v>
      </c>
      <c r="E37" s="11" t="str">
        <f>IF(C38=" "," ",IF('Με Βαθμό Πρόσβασης Μαθήματος'!E6=4,"Φυσική x 0,7"," "))</f>
        <v> </v>
      </c>
    </row>
    <row r="38" spans="2:5" ht="13.5" thickBot="1">
      <c r="B38" s="154"/>
      <c r="C38" s="39" t="str">
        <f>IF('Με Βαθμό Πρόσβασης Μαθήματος'!E6=4,"2ο, 4ο Επιστημονικό Πεδίο"," ")</f>
        <v> </v>
      </c>
      <c r="D38" s="32">
        <f>+IF(D37=" ",0,'Με Βαθμό Πρόσβασης Μαθήματος'!E17*1.3)</f>
        <v>0</v>
      </c>
      <c r="E38" s="13">
        <f>+IF(E37=" ",0,'Με Βαθμό Πρόσβασης Μαθήματος'!E18*0.7)</f>
        <v>0</v>
      </c>
    </row>
    <row r="39" spans="2:5" ht="12.75">
      <c r="B39" s="154"/>
      <c r="C39" s="40"/>
      <c r="D39" s="33" t="str">
        <f>IF(C40=" "," ",IF('Με Βαθμό Πρόσβασης Μαθήματος'!E8=3,"Βιολογία x 0,9"," "))</f>
        <v> </v>
      </c>
      <c r="E39" s="16" t="str">
        <f>IF(C40=" "," ",IF('Με Βαθμό Πρόσβασης Μαθήματος'!E8=3,"Νεολ. Γλώσσα x 0,4"," "))</f>
        <v> </v>
      </c>
    </row>
    <row r="40" spans="2:5" ht="13.5" thickBot="1">
      <c r="B40" s="154"/>
      <c r="C40" s="39" t="str">
        <f>IF('Με Βαθμό Πρόσβασης Μαθήματος'!E6&lt;&gt;4," ",IF('Με Βαθμό Πρόσβασης Μαθήματος'!E8=3,"3ο Επιστημονικό Πεδίο"," "))</f>
        <v> </v>
      </c>
      <c r="D40" s="32">
        <f>+IF(D39=" ",0,'Με Βαθμό Πρόσβασης Μαθήματος'!E15*0.9)</f>
        <v>0</v>
      </c>
      <c r="E40" s="20">
        <f>+IF(E39=" ",0,'Με Βαθμό Πρόσβασης Μαθήματος'!E14*0.4)</f>
        <v>0</v>
      </c>
    </row>
    <row r="41" spans="2:5" ht="12.75">
      <c r="B41" s="154"/>
      <c r="C41" s="24"/>
      <c r="D41" s="34" t="str">
        <f>IF(C42=" "," ",IF('Με Βαθμό Πρόσβασης Μαθήματος'!E8=1,"Νεολ Γλώσσα x 0,9"," "))</f>
        <v> </v>
      </c>
      <c r="E41" s="14" t="str">
        <f>IF(C42=" "," ",IF('Με Βαθμό Πρόσβασης Μαθήματος'!E8=1,"Ιστορία x 0,4"," "))</f>
        <v> </v>
      </c>
    </row>
    <row r="42" spans="2:5" ht="13.5" thickBot="1">
      <c r="B42" s="154"/>
      <c r="C42" s="25" t="str">
        <f>IF('Με Βαθμό Πρόσβασης Μαθήματος'!E6&lt;&gt;4," ",IF('Με Βαθμό Πρόσβασης Μαθήματος'!E8=1,"1ο Επιστημονικό Πεδίο"," "))</f>
        <v> </v>
      </c>
      <c r="D42" s="35">
        <f>IF(D41=" ",0,'Με Βαθμό Πρόσβασης Μαθήματος'!E14*0.9)</f>
        <v>0</v>
      </c>
      <c r="E42" s="13">
        <f>IF(E41=" ",0,'Με Βαθμό Πρόσβασης Μαθήματος'!E15*0.4)</f>
        <v>0</v>
      </c>
    </row>
    <row r="43" spans="2:5" ht="12.75">
      <c r="B43" s="154"/>
      <c r="C43" s="24"/>
      <c r="D43" s="36" t="str">
        <f>IF(C44=" "," ",IF('Με Βαθμό Πρόσβασης Μαθήματος'!J22=" "," ","Αρχ. Οικονομ. Θ. x 1,3"))</f>
        <v> </v>
      </c>
      <c r="E43" s="18" t="str">
        <f>IF(C44=" "," ",IF('Με Βαθμό Πρόσβασης Μαθήματος'!J22=" "," ","Μαθηματ &amp; Στ. Στ x 0,7"))</f>
        <v> </v>
      </c>
    </row>
    <row r="44" spans="2:5" ht="13.5" thickBot="1">
      <c r="B44" s="154"/>
      <c r="C44" s="41" t="str">
        <f>IF('Με Βαθμό Πρόσβασης Μαθήματος'!E6&lt;&gt;4," ",IF('Με Βαθμό Πρόσβασης Μαθήματος'!E8&lt;&gt;2," ",IF('Με Βαθμό Πρόσβασης Μαθήματος'!E22=0," ","5ο Επιστημονικό Πεδίο")))</f>
        <v> </v>
      </c>
      <c r="D44" s="37">
        <f>IF(D43=" ",0,'Με Βαθμό Πρόσβασης Μαθήματος'!E22*1.3)</f>
        <v>0</v>
      </c>
      <c r="E44" s="15">
        <f>IF(E43=" ",0,'Με Βαθμό Πρόσβασης Μαθήματος'!E15*0.7)</f>
        <v>0</v>
      </c>
    </row>
    <row r="45" ht="13.5" thickTop="1"/>
  </sheetData>
  <sheetProtection password="DE9A" sheet="1" objects="1" scenarios="1"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Thetakis</dc:creator>
  <cp:keywords/>
  <dc:description/>
  <cp:lastModifiedBy>User</cp:lastModifiedBy>
  <cp:lastPrinted>2006-02-07T11:33:38Z</cp:lastPrinted>
  <dcterms:created xsi:type="dcterms:W3CDTF">2005-11-04T14:55:33Z</dcterms:created>
  <dcterms:modified xsi:type="dcterms:W3CDTF">2006-02-20T10:05:02Z</dcterms:modified>
  <cp:category/>
  <cp:version/>
  <cp:contentType/>
  <cp:contentStatus/>
</cp:coreProperties>
</file>